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35B" lockStructure="1"/>
  <bookViews>
    <workbookView xWindow="0" yWindow="0" windowWidth="2160" windowHeight="1170"/>
  </bookViews>
  <sheets>
    <sheet name="Input" sheetId="1" r:id="rId1"/>
    <sheet name="Workflow products" sheetId="25" r:id="rId2"/>
    <sheet name="Lib Quant IT" sheetId="33" state="hidden" r:id="rId3"/>
    <sheet name="Lib Quant IL" sheetId="32" state="hidden" r:id="rId4"/>
    <sheet name="Lib Quant" sheetId="8" state="hidden" r:id="rId5"/>
    <sheet name="Sequencing Specs" sheetId="29" r:id="rId6"/>
    <sheet name="ProdNames" sheetId="26" state="hidden" r:id="rId7"/>
    <sheet name="Library Construction&amp;Amp" sheetId="6" state="hidden" r:id="rId8"/>
    <sheet name="Panels" sheetId="5" state="hidden" r:id="rId9"/>
    <sheet name="Input Guide" sheetId="17" r:id="rId10"/>
    <sheet name="Products Guide" sheetId="18" r:id="rId11"/>
    <sheet name="Sheet2" sheetId="2" state="hidden" r:id="rId12"/>
    <sheet name="QuantiMIZE" sheetId="4" state="hidden" r:id="rId13"/>
    <sheet name="Clean up" sheetId="7" state="hidden" r:id="rId14"/>
    <sheet name="AMPure calc" sheetId="10" state="hidden" r:id="rId15"/>
    <sheet name="Sequencing" sheetId="9" state="hidden" r:id="rId16"/>
    <sheet name="Sheet13" sheetId="30" state="hidden" r:id="rId17"/>
    <sheet name="SeqOutputs" sheetId="31" state="hidden" r:id="rId18"/>
  </sheets>
  <definedNames>
    <definedName name="AllCatalogedPanels">Panels!$A$3:$L$20</definedName>
    <definedName name="AMPure">'AMPure calc'!$E$2:$G$3</definedName>
    <definedName name="CatalogedPanels">Sheet2!$F$3:$H$16</definedName>
    <definedName name="CleanUp">'Clean up'!$B$3:$G$4</definedName>
    <definedName name="CleanUp2">'Clean up'!$A$3:$G$4</definedName>
    <definedName name="CustomMnMpricing">#REF!</definedName>
    <definedName name="Illumina">Sequencing!$B$3:$B$5</definedName>
    <definedName name="IonTorrent">Sequencing!$P$3:$P$4</definedName>
    <definedName name="LibConstruction">'Library Construction&amp;Amp'!$A$3:$P$6</definedName>
    <definedName name="LibQuant" localSheetId="3">'Lib Quant IL'!$A$4:$Z$36</definedName>
    <definedName name="LibQuant" localSheetId="2">'Lib Quant IT'!$A$4:$Z$36</definedName>
    <definedName name="LibQuant">'Lib Quant'!$A$4:$AO$36</definedName>
    <definedName name="LibQuantIL">'Lib Quant IL'!$A$4:$Z$36</definedName>
    <definedName name="LibQuantIT">'Lib Quant IT'!$A$4:$Z$36</definedName>
    <definedName name="MiSeq">Sequencing!$D$4:$D$9</definedName>
    <definedName name="_xlnm.Print_Area" localSheetId="1">'Workflow products'!$A$1:$L$24</definedName>
    <definedName name="ProdNames">ProdNames!$A$1:$C$294</definedName>
    <definedName name="QuantiMIZE">Sheet2!$B$3:$D$35</definedName>
    <definedName name="QuantiMIZEArray">Sheet2!$B$3:$C$35</definedName>
    <definedName name="QuantiMIZEproducts">QuantiMIZE!$A$3:$K$35</definedName>
  </definedNames>
  <calcPr calcId="145621"/>
</workbook>
</file>

<file path=xl/calcChain.xml><?xml version="1.0" encoding="utf-8"?>
<calcChain xmlns="http://schemas.openxmlformats.org/spreadsheetml/2006/main">
  <c r="G14" i="25" l="1"/>
  <c r="B10" i="25" l="1"/>
  <c r="C19" i="25" l="1"/>
  <c r="B20" i="25" l="1"/>
  <c r="D20" i="25"/>
  <c r="G20" i="25"/>
  <c r="G16" i="1"/>
  <c r="G23" i="25" l="1"/>
  <c r="G22" i="25"/>
  <c r="B15" i="25"/>
  <c r="M15" i="25" s="1"/>
  <c r="B23" i="25"/>
  <c r="H23" i="25"/>
  <c r="H22" i="25"/>
  <c r="J22" i="25" s="1"/>
  <c r="D23" i="25"/>
  <c r="D22" i="25"/>
  <c r="C23" i="25"/>
  <c r="C22" i="25"/>
  <c r="B22" i="25"/>
  <c r="D21" i="25"/>
  <c r="B21" i="25"/>
  <c r="C16" i="29"/>
  <c r="C23" i="29" s="1"/>
  <c r="C21" i="29"/>
  <c r="F28" i="30"/>
  <c r="F29" i="30"/>
  <c r="F30" i="30"/>
  <c r="F31" i="30"/>
  <c r="F32" i="30"/>
  <c r="F33" i="30"/>
  <c r="F4" i="30"/>
  <c r="F5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3" i="30"/>
  <c r="J23" i="25" l="1"/>
  <c r="C25" i="29"/>
  <c r="G16" i="25" l="1"/>
  <c r="D16" i="25"/>
  <c r="C16" i="25"/>
  <c r="L3" i="25"/>
  <c r="L2" i="25"/>
  <c r="G5" i="25"/>
  <c r="G2" i="25"/>
  <c r="G3" i="25"/>
  <c r="G4" i="25"/>
  <c r="D5" i="25"/>
  <c r="D4" i="25"/>
  <c r="D3" i="25"/>
  <c r="D2" i="25"/>
  <c r="B16" i="25"/>
  <c r="G15" i="25"/>
  <c r="B14" i="25"/>
  <c r="D10" i="25"/>
  <c r="G21" i="25"/>
  <c r="C20" i="25"/>
  <c r="G19" i="25"/>
  <c r="D19" i="25"/>
  <c r="B19" i="25"/>
  <c r="G17" i="25"/>
  <c r="D17" i="25"/>
  <c r="B17" i="25"/>
  <c r="G13" i="25"/>
  <c r="D13" i="25"/>
  <c r="B13" i="25"/>
  <c r="G12" i="25"/>
  <c r="D12" i="25"/>
  <c r="B12" i="25"/>
  <c r="G11" i="25"/>
  <c r="D11" i="25"/>
  <c r="C11" i="25"/>
  <c r="B11" i="25"/>
  <c r="G20" i="1"/>
  <c r="G14" i="1"/>
  <c r="D14" i="1"/>
  <c r="K20" i="25" l="1"/>
  <c r="K23" i="25"/>
  <c r="K22" i="25"/>
  <c r="K11" i="25"/>
  <c r="K16" i="25"/>
  <c r="K13" i="25"/>
  <c r="K15" i="25"/>
  <c r="K14" i="25"/>
  <c r="K17" i="25"/>
  <c r="K19" i="25"/>
  <c r="K12" i="25"/>
  <c r="K21" i="25"/>
  <c r="G10" i="25"/>
  <c r="K10" i="25" s="1"/>
  <c r="D14" i="25"/>
  <c r="D15" i="25"/>
  <c r="H17" i="1" l="1"/>
  <c r="G17" i="1"/>
  <c r="G18" i="1"/>
  <c r="D20" i="1"/>
  <c r="C12" i="25" l="1"/>
  <c r="K17" i="1" l="1"/>
  <c r="F3" i="10" l="1"/>
  <c r="F2" i="10"/>
  <c r="G18" i="25" s="1"/>
  <c r="C4" i="10"/>
  <c r="B4" i="10"/>
  <c r="K18" i="25" l="1"/>
</calcChain>
</file>

<file path=xl/comments1.xml><?xml version="1.0" encoding="utf-8"?>
<comments xmlns="http://schemas.openxmlformats.org/spreadsheetml/2006/main">
  <authors>
    <author>Raed Samara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Raed Samara:</t>
        </r>
        <r>
          <rPr>
            <sz val="9"/>
            <color indexed="81"/>
            <rFont val="Tahoma"/>
            <family val="2"/>
          </rPr>
          <t xml:space="preserve">
If Custom or Mix-n-Match panel, enter catalog number AND range of amplicons to the right (see Input Guide Sheet)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Raed Samara:</t>
        </r>
        <r>
          <rPr>
            <sz val="9"/>
            <color indexed="81"/>
            <rFont val="Tahoma"/>
            <family val="2"/>
          </rPr>
          <t xml:space="preserve">
Insert Catalog number in the following format:
#####X-####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Raed Samara:</t>
        </r>
        <r>
          <rPr>
            <sz val="9"/>
            <color indexed="81"/>
            <rFont val="Tahoma"/>
            <family val="2"/>
          </rPr>
          <t xml:space="preserve">
The number of amplicons is the last 1-4 digits of the Cat Number (#####X-</t>
        </r>
        <r>
          <rPr>
            <b/>
            <sz val="9"/>
            <color indexed="81"/>
            <rFont val="Tahoma"/>
            <family val="2"/>
          </rPr>
          <t>####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<sst xmlns="http://schemas.openxmlformats.org/spreadsheetml/2006/main" count="2259" uniqueCount="613">
  <si>
    <t>NGS platform</t>
  </si>
  <si>
    <t>Illumina</t>
  </si>
  <si>
    <t>Ion Torrent</t>
  </si>
  <si>
    <t>Thermocycler</t>
  </si>
  <si>
    <t>ABI 5700</t>
  </si>
  <si>
    <t>ABI 7000</t>
  </si>
  <si>
    <t>ABI 7300</t>
  </si>
  <si>
    <t>ABI 7700</t>
  </si>
  <si>
    <t>ABI 7500 Std 96-well block</t>
  </si>
  <si>
    <t>ABI 7900HT (96-well Std block)</t>
  </si>
  <si>
    <t>ABI ViiA 7 (96-well Std block)</t>
  </si>
  <si>
    <t>ABI 7500 FAST 96-well block</t>
  </si>
  <si>
    <t>ABI 7900HT FAST 96-well block</t>
  </si>
  <si>
    <t>ABI StepOnePlus</t>
  </si>
  <si>
    <t>ABI ViiA 7 (96-well FAST block)</t>
  </si>
  <si>
    <t>ABI 7900HT 384</t>
  </si>
  <si>
    <t>ABI ViiA 7 (384-well block)</t>
  </si>
  <si>
    <t>BioRad CFX384</t>
  </si>
  <si>
    <t>BioRad CFX96</t>
  </si>
  <si>
    <t>BioRad Opticon (2)</t>
  </si>
  <si>
    <t>BioRad Chromo 4</t>
  </si>
  <si>
    <t>BioRad iCycler</t>
  </si>
  <si>
    <t>BioRad iQ5</t>
  </si>
  <si>
    <t>BioRad MyiQ</t>
  </si>
  <si>
    <t>BioRad MyiQ2</t>
  </si>
  <si>
    <t>Eppendorf Mastercycler ep realplex 2</t>
  </si>
  <si>
    <t>Eppendorf Mastercycler ep realplex 2S</t>
  </si>
  <si>
    <t>Eppendorf Mastercycler ep realplex 4</t>
  </si>
  <si>
    <t>Eppendorf Mastercycler ep realplex 4S</t>
  </si>
  <si>
    <t>QIAGEN Rotor Gene (6000)</t>
  </si>
  <si>
    <t>QIAGEN Rotor Gene Q</t>
  </si>
  <si>
    <t>Roche Light Cycler 480 384-well block</t>
  </si>
  <si>
    <t>Roche Light Cycler 480 96-well block</t>
  </si>
  <si>
    <t>Stratagene Mx3000p</t>
  </si>
  <si>
    <t>Stratagene Mx3005p</t>
  </si>
  <si>
    <t>Stratagene Mx4000</t>
  </si>
  <si>
    <t>Takara TP-800</t>
  </si>
  <si>
    <t>Format</t>
  </si>
  <si>
    <t>Array</t>
  </si>
  <si>
    <t>Assay</t>
  </si>
  <si>
    <t>Panel</t>
  </si>
  <si>
    <t>Size</t>
  </si>
  <si>
    <t>Breast Cancer (001X)</t>
  </si>
  <si>
    <t>Colorectal Cancer (002X)</t>
  </si>
  <si>
    <t>Myeloid Neoplasms (003X)</t>
  </si>
  <si>
    <t>Liver Cancer (004X)</t>
  </si>
  <si>
    <t>Lung Cancer (005X)</t>
  </si>
  <si>
    <t>Ovarian Cancer (006X)</t>
  </si>
  <si>
    <t>Prostate Cancer (007X)</t>
  </si>
  <si>
    <t>Gastric Cancer (008X)</t>
  </si>
  <si>
    <t>Cardiomyopathy (009X)</t>
  </si>
  <si>
    <t>Carrier Testing (011X)</t>
  </si>
  <si>
    <t>Cancer Predisposition (013X)</t>
  </si>
  <si>
    <t>Comprehensive Cancer (501X)</t>
  </si>
  <si>
    <t>Clinically Relevant Tumor (101X)</t>
  </si>
  <si>
    <t>Tumor Actionable Mutations (201X)</t>
  </si>
  <si>
    <t>NGHS-001X-12</t>
  </si>
  <si>
    <t>NGHS-001X-96</t>
  </si>
  <si>
    <t>NGHS-002X-12</t>
  </si>
  <si>
    <t>NGHS-002X-96</t>
  </si>
  <si>
    <t>NGHS-003X-12</t>
  </si>
  <si>
    <t>NGHS-003X-96</t>
  </si>
  <si>
    <t>NGHS-004X-12</t>
  </si>
  <si>
    <t>NGHS-004X-96</t>
  </si>
  <si>
    <t>NGHS-005X-12</t>
  </si>
  <si>
    <t>NGHS-005X-96</t>
  </si>
  <si>
    <t>NGHS-006X-12</t>
  </si>
  <si>
    <t>NGHS-006X-96</t>
  </si>
  <si>
    <t>NGHS-007X-12</t>
  </si>
  <si>
    <t>NGHS-007X-96</t>
  </si>
  <si>
    <t>NGHS-008X-12</t>
  </si>
  <si>
    <t>NGHS-008X-96</t>
  </si>
  <si>
    <t>NGHS-009X-12</t>
  </si>
  <si>
    <t>NGHS-009X-96</t>
  </si>
  <si>
    <t>NGHS-011X-12</t>
  </si>
  <si>
    <t>NGHS-011X-96</t>
  </si>
  <si>
    <t>NGHS-013X-12</t>
  </si>
  <si>
    <t>NGHS-013X-96</t>
  </si>
  <si>
    <t>NGHS-101X-12</t>
  </si>
  <si>
    <t>NGHS-101X-96</t>
  </si>
  <si>
    <t>NGHS-201X-12</t>
  </si>
  <si>
    <t>NGHS-201X-96</t>
  </si>
  <si>
    <t>NGHS-501X-12</t>
  </si>
  <si>
    <t>NGHS-501X-96</t>
  </si>
  <si>
    <t>Mix-n-Match Panel</t>
  </si>
  <si>
    <t>Custom Panel</t>
  </si>
  <si>
    <t>DNA QC</t>
  </si>
  <si>
    <t>Targeted enrichment</t>
  </si>
  <si>
    <t>Library construction</t>
  </si>
  <si>
    <t>Library quantification</t>
  </si>
  <si>
    <t>Workflow step</t>
  </si>
  <si>
    <t>Quantifies amplifiable DNA, optimizes targeted enrichment conditions</t>
  </si>
  <si>
    <t>Enriches genes or genomic regions to enable targeted sequencing</t>
  </si>
  <si>
    <t>Consructs libraries (attaches adapters) from amplicons generated in the Targeted enrichment step</t>
  </si>
  <si>
    <t>Quantifies final library</t>
  </si>
  <si>
    <t>NGQA-002RA-2</t>
  </si>
  <si>
    <t>NGQC-100Y-R</t>
  </si>
  <si>
    <t>Yes</t>
  </si>
  <si>
    <t>No</t>
  </si>
  <si>
    <t>12 samples</t>
  </si>
  <si>
    <t>96 samples</t>
  </si>
  <si>
    <t>SAP ID</t>
  </si>
  <si>
    <t>Variant</t>
  </si>
  <si>
    <t>Name</t>
  </si>
  <si>
    <t># samples</t>
  </si>
  <si>
    <t>Price</t>
  </si>
  <si>
    <t>Arrays</t>
  </si>
  <si>
    <t>Assays</t>
  </si>
  <si>
    <t>NGQA-002RC-2</t>
  </si>
  <si>
    <t>NGQA-002RE-2</t>
  </si>
  <si>
    <t>NGQA-002NE-2</t>
  </si>
  <si>
    <t>NGQA-002ND-2</t>
  </si>
  <si>
    <t>NGQA-002NA-2</t>
  </si>
  <si>
    <t>NGQA-002FA-2</t>
  </si>
  <si>
    <t>NGQA-002QR-2</t>
  </si>
  <si>
    <t>NGQA-002NG-2</t>
  </si>
  <si>
    <t>NGQA-002NF-2</t>
  </si>
  <si>
    <t>NGQA-002RD-2</t>
  </si>
  <si>
    <t>GeneRead DNA QuantiMIZE Array Kit</t>
  </si>
  <si>
    <t>GeneRead DNA QuantiMIZE Assay Kit</t>
  </si>
  <si>
    <t>NGQC-100Y-N</t>
  </si>
  <si>
    <t>NGQC-100Y-F</t>
  </si>
  <si>
    <t>NGQC-100Y-Q</t>
  </si>
  <si>
    <t>Catalog (Variant) #</t>
  </si>
  <si>
    <t># samples/kit</t>
  </si>
  <si>
    <t>GeneRead DNAseq Human Breast Cancer Panel V2</t>
  </si>
  <si>
    <t>GeneRead DNAseq Human Colorectal Cancer Panel V2</t>
  </si>
  <si>
    <t>GeneRead DNAseq Human Myeloid Neoplasms Panel V2</t>
  </si>
  <si>
    <t>GeneRead DNAseq Human Liver Cancer Panel V2</t>
  </si>
  <si>
    <t>GeneRead DNAseq Human Lung Cancer Panel V2</t>
  </si>
  <si>
    <t>GeneRead DNAseq Human Ovarian Cancer Panel V2</t>
  </si>
  <si>
    <t>GeneRead DNAseq Human Prostate Cancer Panel V2</t>
  </si>
  <si>
    <t>GeneRead DNAseq Human Gastric Cancer Panel V2</t>
  </si>
  <si>
    <t>GeneRead DNAseq Human Cardiomyopathy Panel V2</t>
  </si>
  <si>
    <t>GeneRead DNAseq Human Carrier Testing Panel V2</t>
  </si>
  <si>
    <t>GeneRead DNAseq Human  Cancer Predisposition Panel V2</t>
  </si>
  <si>
    <t>GeneRead DNAseq Human Comprehensive Cancer Panel V2</t>
  </si>
  <si>
    <t>GeneRead DNAseq Human Clinically Relevant Tumor Panel V2</t>
  </si>
  <si>
    <t>GeneRead DNAseq Human Tumor Actionable Mutations Panel V2</t>
  </si>
  <si>
    <t>N/A</t>
  </si>
  <si>
    <t>Platform</t>
  </si>
  <si>
    <t>Core</t>
  </si>
  <si>
    <t>Adapters</t>
  </si>
  <si>
    <t>Amp</t>
  </si>
  <si>
    <t>GeneRead DNA Library I Core Kit (12)</t>
  </si>
  <si>
    <t>GeneRead DNA Library L Core Kit (12)</t>
  </si>
  <si>
    <t>GeneRead DNA Adapter I set 12-plex</t>
  </si>
  <si>
    <t>GeneRead DNA Adapter L set 12-plex</t>
  </si>
  <si>
    <t>GeneRead DNA I Amp Kit (100)</t>
  </si>
  <si>
    <t>GeneRead DNA L Amp Kit (100)</t>
  </si>
  <si>
    <t>ILMN</t>
  </si>
  <si>
    <t>PGM</t>
  </si>
  <si>
    <t>uL per sample</t>
  </si>
  <si>
    <t># samples per A63880</t>
  </si>
  <si>
    <t>A63880</t>
  </si>
  <si>
    <t>Agencourt AMPure XP - 5 mL</t>
  </si>
  <si>
    <t>$</t>
  </si>
  <si>
    <t>Product</t>
  </si>
  <si>
    <t>GeneRead Size Selection Kit (50)</t>
  </si>
  <si>
    <t>QIAquick PCR Purification Kit (50)</t>
  </si>
  <si>
    <t>IT</t>
  </si>
  <si>
    <t>DNAseq</t>
  </si>
  <si>
    <t>Generic</t>
  </si>
  <si>
    <t>GeneRead DNAseq Library Quant Array</t>
  </si>
  <si>
    <t>GeneRead Library Quant Array</t>
  </si>
  <si>
    <t>GeneRead Library Quant Kit</t>
  </si>
  <si>
    <t>NGTF-ILZ-R</t>
  </si>
  <si>
    <t>NGTF-ILZ-N</t>
  </si>
  <si>
    <t>NGTF-ILZ-F</t>
  </si>
  <si>
    <t>NGTF-ILZ-Q</t>
  </si>
  <si>
    <t>NGTF-ITZ-R</t>
  </si>
  <si>
    <t>NGTF-ITZ-N</t>
  </si>
  <si>
    <t>NGTF-ITZ-F</t>
  </si>
  <si>
    <t>NGTF-ITZ-Q</t>
  </si>
  <si>
    <t>NGIL-001ZA-2</t>
  </si>
  <si>
    <t>NGIL-001ZC-2</t>
  </si>
  <si>
    <t>NGIL-001ZD-2</t>
  </si>
  <si>
    <t>NGIL-001ZF-2</t>
  </si>
  <si>
    <t>NGIL-001ZR-2</t>
  </si>
  <si>
    <t>NGIT-001ZA-2</t>
  </si>
  <si>
    <t>NGIT-001ZC-2</t>
  </si>
  <si>
    <t>NGIT-001ZD-2</t>
  </si>
  <si>
    <t>NGIT-001ZR-2</t>
  </si>
  <si>
    <t>NGIT-001ZF-2</t>
  </si>
  <si>
    <t>NGIL-3001ZE-1</t>
  </si>
  <si>
    <t>NGIL-3001ZG-1</t>
  </si>
  <si>
    <t>NGIT-3001ZE-1</t>
  </si>
  <si>
    <t>NGIT-3001ZG-1</t>
  </si>
  <si>
    <t>NGIL-002ZA-2</t>
  </si>
  <si>
    <t>NGIL-002ZC-2</t>
  </si>
  <si>
    <t>NGIL-3002ZE-2</t>
  </si>
  <si>
    <t>NGIL-002ZD-2</t>
  </si>
  <si>
    <t>NGIL-002ZR-2</t>
  </si>
  <si>
    <t>NGIL-3002ZG-2</t>
  </si>
  <si>
    <t>NGIL-002ZF-2</t>
  </si>
  <si>
    <t>NGIT-002ZA-2</t>
  </si>
  <si>
    <t>NGIT-002ZC-2</t>
  </si>
  <si>
    <t>NGIT-3002ZE-2</t>
  </si>
  <si>
    <t>NGIT-002ZD-2</t>
  </si>
  <si>
    <t>NGIT-002ZR-2</t>
  </si>
  <si>
    <t>NGIT-3002ZG-2</t>
  </si>
  <si>
    <t>NGIT-002ZF-2</t>
  </si>
  <si>
    <t>MM</t>
  </si>
  <si>
    <t>GeneRead qPCR SYBR Green MM (2)</t>
  </si>
  <si>
    <t>GeneRead qPCR SYBR Green/ROX MM (2)</t>
  </si>
  <si>
    <t>GeneRead qPCR SYBR Green/Fluor MM (2)</t>
  </si>
  <si>
    <t>GeneRead qPCR FAST SYBR Green/ROX MM (2)</t>
  </si>
  <si>
    <t>Sequencing</t>
  </si>
  <si>
    <t>DNA isolation</t>
  </si>
  <si>
    <t>Multiplexing level</t>
  </si>
  <si>
    <t>Number of samples multiplexed</t>
  </si>
  <si>
    <t>Sequencer</t>
  </si>
  <si>
    <t>Sequencer provider</t>
  </si>
  <si>
    <t>MiSeq</t>
  </si>
  <si>
    <t>HiSeq</t>
  </si>
  <si>
    <t>Proton</t>
  </si>
  <si>
    <t>NextSeq</t>
  </si>
  <si>
    <t>V2</t>
  </si>
  <si>
    <t>V3</t>
  </si>
  <si>
    <t>High-throughput Run Mode</t>
  </si>
  <si>
    <t>Rapid Run Mode</t>
  </si>
  <si>
    <t>1x36</t>
  </si>
  <si>
    <t>2x25</t>
  </si>
  <si>
    <t>2x150</t>
  </si>
  <si>
    <t>2x250</t>
  </si>
  <si>
    <t>MiSeq Chemistry</t>
  </si>
  <si>
    <t>Read length (bases)</t>
  </si>
  <si>
    <t>2x75</t>
  </si>
  <si>
    <t>HiSeq Run Mode</t>
  </si>
  <si>
    <t>HT</t>
  </si>
  <si>
    <t>Rapid</t>
  </si>
  <si>
    <t>Dual Flow cells</t>
  </si>
  <si>
    <t>Single Flow cell</t>
  </si>
  <si>
    <t>Dual</t>
  </si>
  <si>
    <t>Single</t>
  </si>
  <si>
    <t>2x50</t>
  </si>
  <si>
    <t>2x100</t>
  </si>
  <si>
    <t>High Output Flow Cell</t>
  </si>
  <si>
    <t>Mid Output Flow Cell</t>
  </si>
  <si>
    <t>High Out</t>
  </si>
  <si>
    <t>Mid Out</t>
  </si>
  <si>
    <t>1x75</t>
  </si>
  <si>
    <t>Chips</t>
  </si>
  <si>
    <t>PI</t>
  </si>
  <si>
    <t>IonTorrent</t>
  </si>
  <si>
    <t>1x36 (V2)</t>
  </si>
  <si>
    <t>2x25 (V2)</t>
  </si>
  <si>
    <t>2x150 (V2)</t>
  </si>
  <si>
    <t>2x250 (V2)</t>
  </si>
  <si>
    <t>2x75 (V3)</t>
  </si>
  <si>
    <t>2x300 (V3)</t>
  </si>
  <si>
    <t>Real-time PCR cycler</t>
  </si>
  <si>
    <t>Real-time PCR Format</t>
  </si>
  <si>
    <t>Real-time PCR</t>
  </si>
  <si>
    <t>Notes</t>
  </si>
  <si>
    <t>Input</t>
  </si>
  <si>
    <t>Is QC of targeted enrichment step required? (this is performed in the Library Quant Step)</t>
  </si>
  <si>
    <t>Manual Entry</t>
  </si>
  <si>
    <t>Targeted Panel</t>
  </si>
  <si>
    <t>1501-1600</t>
  </si>
  <si>
    <t>NGS Platform</t>
  </si>
  <si>
    <t>QuantiMIZE kits are NGS platform-independent, but real-time PCR cycler dependent</t>
  </si>
  <si>
    <t>Lib Quant kits are NGS platform- and real-time PCR cycler-dependent</t>
  </si>
  <si>
    <t># Kits</t>
  </si>
  <si>
    <t>Not from QIAGEN</t>
  </si>
  <si>
    <t>Parameter</t>
  </si>
  <si>
    <t>Panels</t>
  </si>
  <si>
    <t>Lib Quant Kits</t>
  </si>
  <si>
    <t>QuantiMIZE Kits</t>
  </si>
  <si>
    <t>QuantiMIZE kits are offered in 2 formats: (1) Arrays (180642), and (2) Assays (180654)</t>
  </si>
  <si>
    <t>Lib Quant kits are offered in 3 formats: (1) Arrays that contain QC primers (DNAseq version, 180601), (2) Arrays wihtout QC primers (180611), (3) Assays (180612)</t>
  </si>
  <si>
    <t>QuantiMIZE kits contain all reagents required, including real-time PCR mastermixes</t>
  </si>
  <si>
    <t>Sample size of Custom and Mix-n-Match panels is fixed: Custom 480 samples; Mix-n-Match 96 samples</t>
  </si>
  <si>
    <t>NGS platform-dependent</t>
  </si>
  <si>
    <t>Barcodes to be used depend on the number of samples to be multiplexed</t>
  </si>
  <si>
    <t>Lib Prep kits and barcodes</t>
  </si>
  <si>
    <t>For Array formats, appropriate real-time PCR Mastermix has to be purchased separately. Assay formats include mastermix.</t>
  </si>
  <si>
    <t>See "Products Guide" Sheet for additional information</t>
  </si>
  <si>
    <t>NGS Platform?</t>
  </si>
  <si>
    <t>Real-time PCR cycler?</t>
  </si>
  <si>
    <t>Real-time PCR Format?</t>
  </si>
  <si>
    <t>Number of kits required</t>
  </si>
  <si>
    <t>QuantiMIZE kits; Library Quantification kits</t>
  </si>
  <si>
    <t>Library Quantification Kits</t>
  </si>
  <si>
    <t>The NGS platform to be used</t>
  </si>
  <si>
    <t>The real-time PCR cycler to be used</t>
  </si>
  <si>
    <t>The real-time PCR Format to be used (Arrays OR Assays)</t>
  </si>
  <si>
    <t>Targeted enrichment can be QCed at the library quantification step</t>
  </si>
  <si>
    <t>Panel and PCR kit</t>
  </si>
  <si>
    <t>The actual number of samples to be sequenced simultaneously</t>
  </si>
  <si>
    <t>This is the total number of samples that can be enriched by the CATALOGED panel</t>
  </si>
  <si>
    <t>Number of samples to be multiplexed?</t>
  </si>
  <si>
    <t>The # samples/kit for the Assay format is calculated based on the assumtion of 10 samples per run</t>
  </si>
  <si>
    <t>Different sequencing chemistries can be used. Only 2x150 for MiSeq and 200 on the 318 chip for PGM are shown (which represent our recommendations)</t>
  </si>
  <si>
    <t>Cost of an Ion 318 Chip Kit v2 (containing 8 chips) is $3992; therefore a chip costs $3992/8 = $499</t>
  </si>
  <si>
    <t>180912</t>
  </si>
  <si>
    <t>180462</t>
  </si>
  <si>
    <t>BRCA1 and BRCA2 Panel (102X)</t>
  </si>
  <si>
    <t>NGHS-102X-12</t>
  </si>
  <si>
    <t>GeneRead DNAseq Human BRCA1 and BRCA2 Panel V2</t>
  </si>
  <si>
    <t>NGHS-102X-96</t>
  </si>
  <si>
    <t>Ask the following questions to determine required products</t>
  </si>
  <si>
    <t>Range of samples to be multiplexed?</t>
  </si>
  <si>
    <t>Sample type</t>
  </si>
  <si>
    <t>Sample type?</t>
  </si>
  <si>
    <t>GeneRead DNA Library I Core Kit (48)</t>
  </si>
  <si>
    <t>Gene Read DNA I Amp Kit (100)</t>
  </si>
  <si>
    <t>Gene Read DNA L Amp Kit (100)</t>
  </si>
  <si>
    <t>GeneRead Adapter I Set 1-plex (12)</t>
  </si>
  <si>
    <t>GeneRead Adapter L Set 1-plex (12)</t>
  </si>
  <si>
    <t>GeneRead Adapter I Set 12-plex (72)</t>
  </si>
  <si>
    <t>GeneRead Adapter I Set A 12-plex (144)</t>
  </si>
  <si>
    <t>GeneRead Adapter I Set B 12-plex (144)</t>
  </si>
  <si>
    <t>GeneRead Adapter L Set 12-plex (72)</t>
  </si>
  <si>
    <t>GeneRead DNA FFPE Kit (50)</t>
  </si>
  <si>
    <t>QIAamp DNA Blood Mini Kit (50)</t>
  </si>
  <si>
    <t>181902P1</t>
  </si>
  <si>
    <t>181902P2</t>
  </si>
  <si>
    <t>181902P3</t>
  </si>
  <si>
    <t>181902P4</t>
  </si>
  <si>
    <t>181902P5</t>
  </si>
  <si>
    <t>181902P6</t>
  </si>
  <si>
    <t>181902P7</t>
  </si>
  <si>
    <t>181902P8</t>
  </si>
  <si>
    <t>181902P9</t>
  </si>
  <si>
    <t>181902P10</t>
  </si>
  <si>
    <t>181902P11</t>
  </si>
  <si>
    <t>181902P12</t>
  </si>
  <si>
    <t>181902P13</t>
  </si>
  <si>
    <t>181902P14</t>
  </si>
  <si>
    <t>181902P15</t>
  </si>
  <si>
    <t>181902P16</t>
  </si>
  <si>
    <t>181902P17</t>
  </si>
  <si>
    <t>181902P18</t>
  </si>
  <si>
    <t>181902P19</t>
  </si>
  <si>
    <t>181902P20</t>
  </si>
  <si>
    <t>181902P21</t>
  </si>
  <si>
    <t>181902P22</t>
  </si>
  <si>
    <t>181902P23</t>
  </si>
  <si>
    <t>181902P24</t>
  </si>
  <si>
    <t>181902P25</t>
  </si>
  <si>
    <t>181902P26</t>
  </si>
  <si>
    <t>181902P27</t>
  </si>
  <si>
    <t>181902P28</t>
  </si>
  <si>
    <t>181902P29</t>
  </si>
  <si>
    <t>181902P30</t>
  </si>
  <si>
    <t>181902P31</t>
  </si>
  <si>
    <t>181902P32</t>
  </si>
  <si>
    <t>181902P33</t>
  </si>
  <si>
    <t>181902P34</t>
  </si>
  <si>
    <t>181902P35</t>
  </si>
  <si>
    <t>181902P36</t>
  </si>
  <si>
    <t>181902P37</t>
  </si>
  <si>
    <t>181902P38</t>
  </si>
  <si>
    <t>181902P39</t>
  </si>
  <si>
    <t>181902P40</t>
  </si>
  <si>
    <t>181902P41</t>
  </si>
  <si>
    <t>181902P42</t>
  </si>
  <si>
    <t>181902P43</t>
  </si>
  <si>
    <t>181902P44</t>
  </si>
  <si>
    <t>181902P45</t>
  </si>
  <si>
    <t>181902P46</t>
  </si>
  <si>
    <t>181902P47</t>
  </si>
  <si>
    <t>181902P48</t>
  </si>
  <si>
    <t>181902P49</t>
  </si>
  <si>
    <t>181902P50</t>
  </si>
  <si>
    <t>181902P51</t>
  </si>
  <si>
    <t>181902P52</t>
  </si>
  <si>
    <t>181902P53</t>
  </si>
  <si>
    <t>181902P54</t>
  </si>
  <si>
    <t>181902P55</t>
  </si>
  <si>
    <t>181902P56</t>
  </si>
  <si>
    <t>181902P57</t>
  </si>
  <si>
    <t>181902P58</t>
  </si>
  <si>
    <t>181902P59</t>
  </si>
  <si>
    <t>181902P60</t>
  </si>
  <si>
    <t>181902P61</t>
  </si>
  <si>
    <t>181902P62</t>
  </si>
  <si>
    <t>181902P63</t>
  </si>
  <si>
    <t>181902P64</t>
  </si>
  <si>
    <t>181902P65</t>
  </si>
  <si>
    <t>181902P66</t>
  </si>
  <si>
    <t>181902P67</t>
  </si>
  <si>
    <t>181902P68</t>
  </si>
  <si>
    <t>181902P69</t>
  </si>
  <si>
    <t>181902P70</t>
  </si>
  <si>
    <t>181902P71</t>
  </si>
  <si>
    <t>181902P72</t>
  </si>
  <si>
    <t>181902P73</t>
  </si>
  <si>
    <t>181902P74</t>
  </si>
  <si>
    <t>181902P75</t>
  </si>
  <si>
    <t>181902P76</t>
  </si>
  <si>
    <t>181902P77</t>
  </si>
  <si>
    <t>181902P78</t>
  </si>
  <si>
    <t>181902P79</t>
  </si>
  <si>
    <t>181902P80</t>
  </si>
  <si>
    <t>181902P81</t>
  </si>
  <si>
    <t>181902P82</t>
  </si>
  <si>
    <t>181902P83</t>
  </si>
  <si>
    <t>181902P84</t>
  </si>
  <si>
    <t>181902P85</t>
  </si>
  <si>
    <t>181902P86</t>
  </si>
  <si>
    <t>181902P87</t>
  </si>
  <si>
    <t>181902P88</t>
  </si>
  <si>
    <t>181902P89</t>
  </si>
  <si>
    <t>181902P90</t>
  </si>
  <si>
    <t>181902P91</t>
  </si>
  <si>
    <t>181902P92</t>
  </si>
  <si>
    <t>181902P93</t>
  </si>
  <si>
    <t>181902P94</t>
  </si>
  <si>
    <t>181902P95</t>
  </si>
  <si>
    <t>181902P96</t>
  </si>
  <si>
    <t>181905P1</t>
  </si>
  <si>
    <t>181905P2</t>
  </si>
  <si>
    <t>181905P3</t>
  </si>
  <si>
    <t>181905P4</t>
  </si>
  <si>
    <t>181905P5</t>
  </si>
  <si>
    <t>181905P6</t>
  </si>
  <si>
    <t>181905P7</t>
  </si>
  <si>
    <t>181905P8</t>
  </si>
  <si>
    <t>181905P9</t>
  </si>
  <si>
    <t>181905P10</t>
  </si>
  <si>
    <t>181905P11</t>
  </si>
  <si>
    <t>181905P12</t>
  </si>
  <si>
    <t>181905P13</t>
  </si>
  <si>
    <t>181905P14</t>
  </si>
  <si>
    <t>181905P15</t>
  </si>
  <si>
    <t>181905P16</t>
  </si>
  <si>
    <t>181905P17</t>
  </si>
  <si>
    <t>181905P18</t>
  </si>
  <si>
    <t>181905P19</t>
  </si>
  <si>
    <t>181905P20</t>
  </si>
  <si>
    <t>181905P21</t>
  </si>
  <si>
    <t>181905P22</t>
  </si>
  <si>
    <t>181905P23</t>
  </si>
  <si>
    <t>181905P24</t>
  </si>
  <si>
    <t>181905P25</t>
  </si>
  <si>
    <t>181905P26</t>
  </si>
  <si>
    <t>181905P27</t>
  </si>
  <si>
    <t>181905P28</t>
  </si>
  <si>
    <t>181905P29</t>
  </si>
  <si>
    <t>181905P30</t>
  </si>
  <si>
    <t>181905P31</t>
  </si>
  <si>
    <t>181905P32</t>
  </si>
  <si>
    <t>181905P33</t>
  </si>
  <si>
    <t>181905P34</t>
  </si>
  <si>
    <t>181905P35</t>
  </si>
  <si>
    <t>181905P36</t>
  </si>
  <si>
    <t>181905P37</t>
  </si>
  <si>
    <t>181905P38</t>
  </si>
  <si>
    <t>181905P39</t>
  </si>
  <si>
    <t>181905P40</t>
  </si>
  <si>
    <t>181905P41</t>
  </si>
  <si>
    <t>181905P42</t>
  </si>
  <si>
    <t>181905P43</t>
  </si>
  <si>
    <t>181905P44</t>
  </si>
  <si>
    <t>181905P45</t>
  </si>
  <si>
    <t>181905P46</t>
  </si>
  <si>
    <t>181905P47</t>
  </si>
  <si>
    <t>181905P48</t>
  </si>
  <si>
    <t>181905P49</t>
  </si>
  <si>
    <t>181905P50</t>
  </si>
  <si>
    <t>181905P51</t>
  </si>
  <si>
    <t>181905P52</t>
  </si>
  <si>
    <t>181905P53</t>
  </si>
  <si>
    <t>181905P54</t>
  </si>
  <si>
    <t>181905P55</t>
  </si>
  <si>
    <t>181905P56</t>
  </si>
  <si>
    <t>181905P57</t>
  </si>
  <si>
    <t>181905P58</t>
  </si>
  <si>
    <t>181905P59</t>
  </si>
  <si>
    <t>181905P60</t>
  </si>
  <si>
    <t>181905P61</t>
  </si>
  <si>
    <t>181905P62</t>
  </si>
  <si>
    <t>181905P63</t>
  </si>
  <si>
    <t>181905P64</t>
  </si>
  <si>
    <t>181905P65</t>
  </si>
  <si>
    <t>181905P66</t>
  </si>
  <si>
    <t>181905P67</t>
  </si>
  <si>
    <t>181905P68</t>
  </si>
  <si>
    <t>181905P69</t>
  </si>
  <si>
    <t>181905P70</t>
  </si>
  <si>
    <t>181905P71</t>
  </si>
  <si>
    <t>181905P72</t>
  </si>
  <si>
    <t>181905P73</t>
  </si>
  <si>
    <t>181905P74</t>
  </si>
  <si>
    <t>181905P75</t>
  </si>
  <si>
    <t>181905P76</t>
  </si>
  <si>
    <t>181905P77</t>
  </si>
  <si>
    <t>181905P78</t>
  </si>
  <si>
    <t>181905P79</t>
  </si>
  <si>
    <t>181905P80</t>
  </si>
  <si>
    <t>181905P81</t>
  </si>
  <si>
    <t>181905P82</t>
  </si>
  <si>
    <t>181905P83</t>
  </si>
  <si>
    <t>181905P84</t>
  </si>
  <si>
    <t>181905P85</t>
  </si>
  <si>
    <t>181905P86</t>
  </si>
  <si>
    <t>181905P87</t>
  </si>
  <si>
    <t>181905P88</t>
  </si>
  <si>
    <t>181905P89</t>
  </si>
  <si>
    <t>181905P90</t>
  </si>
  <si>
    <t>181905P91</t>
  </si>
  <si>
    <t>181905P92</t>
  </si>
  <si>
    <t>181905P93</t>
  </si>
  <si>
    <t>181905P94</t>
  </si>
  <si>
    <t>181905P95</t>
  </si>
  <si>
    <t>181905P96</t>
  </si>
  <si>
    <t>NGIL-3002ZE-1</t>
  </si>
  <si>
    <t>NGIL-3002ZG-1</t>
  </si>
  <si>
    <t>NGIT-3002ZE-1</t>
  </si>
  <si>
    <t>NGIT-3002ZG-1</t>
  </si>
  <si>
    <t>Targeted Panel?</t>
  </si>
  <si>
    <t>N/A (if Custom/Mix-n-Match)</t>
  </si>
  <si>
    <t>FFPE</t>
  </si>
  <si>
    <t>Blood</t>
  </si>
  <si>
    <t>180134</t>
  </si>
  <si>
    <t>51104</t>
  </si>
  <si>
    <t>1 only for Illumina</t>
  </si>
  <si>
    <t>1 only for Ion Torrent</t>
  </si>
  <si>
    <t>12 or less for Ion Torrent</t>
  </si>
  <si>
    <t>12 or less for Illumina</t>
  </si>
  <si>
    <t>More than 24 for Illumina</t>
  </si>
  <si>
    <t>More than 12 for Ion Torrent</t>
  </si>
  <si>
    <t>180434</t>
  </si>
  <si>
    <t>180455</t>
  </si>
  <si>
    <t>180485</t>
  </si>
  <si>
    <t>180922</t>
  </si>
  <si>
    <t>180984</t>
  </si>
  <si>
    <t>180985</t>
  </si>
  <si>
    <t>180986</t>
  </si>
  <si>
    <t>180994</t>
  </si>
  <si>
    <t>NEXTflex-96™ DNA Barcodes - 96 (in 96-well plate)</t>
  </si>
  <si>
    <t>Ion Xpress Barcode Adapters 1-96 Kit</t>
  </si>
  <si>
    <t>13 to 24 for Illumina</t>
  </si>
  <si>
    <t>Make sure this selection matches NGS Platform</t>
  </si>
  <si>
    <t>Real time PCR cycler</t>
  </si>
  <si>
    <t>Real time PCR Format</t>
  </si>
  <si>
    <t>Targeted enrichment QC</t>
  </si>
  <si>
    <t>Targeted panel</t>
  </si>
  <si>
    <t>Sample size</t>
  </si>
  <si>
    <t>Range of samples to be multiplexed</t>
  </si>
  <si>
    <t>Number of samples to be multiplexed</t>
  </si>
  <si>
    <t>Targeted NGS Workflow Specifications</t>
  </si>
  <si>
    <t>Targeted NGS Workflow step</t>
  </si>
  <si>
    <t>Targeted NGS Workflow kits required</t>
  </si>
  <si>
    <r>
      <t xml:space="preserve">Totals needed to process </t>
    </r>
    <r>
      <rPr>
        <b/>
        <sz val="11"/>
        <color rgb="FF00B050"/>
        <rFont val="Calibri"/>
        <family val="2"/>
        <scheme val="minor"/>
      </rPr>
      <t>(n)</t>
    </r>
    <r>
      <rPr>
        <b/>
        <sz val="11"/>
        <color theme="1"/>
        <rFont val="Calibri"/>
        <family val="2"/>
        <scheme val="minor"/>
      </rPr>
      <t xml:space="preserve"> samples</t>
    </r>
  </si>
  <si>
    <t>4474517</t>
  </si>
  <si>
    <t>514105</t>
  </si>
  <si>
    <t>NGS Provider</t>
  </si>
  <si>
    <t>Read Length</t>
  </si>
  <si>
    <t>MiSeq Reagent Kit V2</t>
  </si>
  <si>
    <t>MiSeq Reagent Kit V3</t>
  </si>
  <si>
    <t>2x300</t>
  </si>
  <si>
    <t>NextSeq High-output Flow cell</t>
  </si>
  <si>
    <t>NextSeq Mid-output Flow cell</t>
  </si>
  <si>
    <t>HiSeq 2500 High-Output Run mode Dual Flow cells</t>
  </si>
  <si>
    <t>HiSeq 2500 High-Output Run mode Single Flow cells</t>
  </si>
  <si>
    <t>HiSeq 2500 Rapid Run mode Dual Flow cells</t>
  </si>
  <si>
    <t>HiSeq 2500 Rapid Run mode Single Flow cells</t>
  </si>
  <si>
    <t>NGS Platform And Specs</t>
  </si>
  <si>
    <t>Provider</t>
  </si>
  <si>
    <t>Platform and Specs</t>
  </si>
  <si>
    <t>Read length</t>
  </si>
  <si>
    <t>Output</t>
  </si>
  <si>
    <t>Min</t>
  </si>
  <si>
    <t>Max</t>
  </si>
  <si>
    <t>Avg</t>
  </si>
  <si>
    <t>PGM 314 Chip</t>
  </si>
  <si>
    <t>PGM 316 Chip</t>
  </si>
  <si>
    <t>PGM 318 Chip</t>
  </si>
  <si>
    <t>Target size</t>
  </si>
  <si>
    <t>Required output per sample</t>
  </si>
  <si>
    <t>Required coverage (x)</t>
  </si>
  <si>
    <t>Targeted Size (bases)</t>
  </si>
  <si>
    <t>Average output (bases)</t>
  </si>
  <si>
    <t>Average number of samples that can be multiplexed</t>
  </si>
  <si>
    <t>Totals</t>
  </si>
  <si>
    <t>Make sure this selection matches the sequencing section</t>
  </si>
  <si>
    <t>Total number of samples to be processed (n)?</t>
  </si>
  <si>
    <t>Manual Entry (Use "Sequencing Specs" sheet for help)</t>
  </si>
  <si>
    <r>
      <t xml:space="preserve">Total number of samples to be processed </t>
    </r>
    <r>
      <rPr>
        <sz val="11"/>
        <color rgb="FF00B050"/>
        <rFont val="Calibri"/>
        <family val="2"/>
        <scheme val="minor"/>
      </rPr>
      <t>(n)</t>
    </r>
  </si>
  <si>
    <t>Prepared by Raed Samara</t>
  </si>
  <si>
    <t>This parameter is needed to configure the following:</t>
  </si>
  <si>
    <t>This parameter determines DNA isolation kit (kits listed in "Workflow products" sheets are only recommendation).</t>
  </si>
  <si>
    <t>Total number of samples to be processed (n)</t>
  </si>
  <si>
    <t>This parameter is the total number of samples to be sequenced</t>
  </si>
  <si>
    <t>Library construction kits; Library Quantification kits; Sequencing kits</t>
  </si>
  <si>
    <t>Adapters/Barcodes (Library construction)</t>
  </si>
  <si>
    <t>The range of samples to be multiplexed simultaneously</t>
  </si>
  <si>
    <t>Kits listed here are recommendations only. It is ideal that the kits be determined by the customer</t>
  </si>
  <si>
    <t>AMPure beads are used to purify amplicons and library fragments</t>
  </si>
  <si>
    <t>Recommendations: 200 for germline mutations; 1500 for somatic mutations</t>
  </si>
  <si>
    <t>1. Sequencing platform, specs, and read length</t>
  </si>
  <si>
    <t>2. Targeted size (which is dtermined by the targeted panel used)</t>
  </si>
  <si>
    <r>
      <t xml:space="preserve">Use this calculator to determine the </t>
    </r>
    <r>
      <rPr>
        <sz val="11"/>
        <color rgb="FFFF0000"/>
        <rFont val="Calibri"/>
        <family val="2"/>
        <scheme val="minor"/>
      </rPr>
      <t>average number of samples</t>
    </r>
    <r>
      <rPr>
        <sz val="11"/>
        <color theme="1"/>
        <rFont val="Calibri"/>
        <family val="2"/>
        <scheme val="minor"/>
      </rPr>
      <t xml:space="preserve"> that can be multiplexed per sequencing run.</t>
    </r>
  </si>
  <si>
    <r>
      <t xml:space="preserve">The </t>
    </r>
    <r>
      <rPr>
        <sz val="11"/>
        <color rgb="FFFF0000"/>
        <rFont val="Calibri"/>
        <family val="2"/>
        <scheme val="minor"/>
      </rPr>
      <t>average number of samples</t>
    </r>
    <r>
      <rPr>
        <sz val="11"/>
        <color theme="1"/>
        <rFont val="Calibri"/>
        <family val="2"/>
        <scheme val="minor"/>
      </rPr>
      <t xml:space="preserve"> depends on many factors:</t>
    </r>
  </si>
  <si>
    <r>
      <t xml:space="preserve">The </t>
    </r>
    <r>
      <rPr>
        <sz val="11"/>
        <color rgb="FFFF0000"/>
        <rFont val="Calibri"/>
        <family val="2"/>
        <scheme val="minor"/>
      </rPr>
      <t>average number of samples</t>
    </r>
    <r>
      <rPr>
        <sz val="11"/>
        <color theme="1"/>
        <rFont val="Calibri"/>
        <family val="2"/>
        <scheme val="minor"/>
      </rPr>
      <t xml:space="preserve"> can be entered in cell F24 of the "Input" sheet to calculate per-sample cost of sequencing.</t>
    </r>
  </si>
  <si>
    <t>Cataloged Panel Sample Size</t>
  </si>
  <si>
    <t>3. Required coverage (x)</t>
  </si>
  <si>
    <t>If Custom or Mix-n-Match, enter Targeted size manually to the right</t>
  </si>
  <si>
    <r>
      <rPr>
        <b/>
        <u/>
        <sz val="11"/>
        <color theme="1"/>
        <rFont val="Calibri"/>
        <family val="2"/>
        <scheme val="minor"/>
      </rPr>
      <t>If Custom or Mix-n-Match panel</t>
    </r>
    <r>
      <rPr>
        <sz val="11"/>
        <color theme="1"/>
        <rFont val="Calibri"/>
        <family val="2"/>
        <scheme val="minor"/>
      </rPr>
      <t xml:space="preserve">, Custom panel = </t>
    </r>
    <r>
      <rPr>
        <sz val="11"/>
        <rFont val="Calibri"/>
        <family val="2"/>
        <scheme val="minor"/>
      </rPr>
      <t>CNGHS-#####X-####; Mix-n-Match = MNGHS-#####X-#### (Pre-fixes CNGHS or MNGHS are automatically populated)</t>
    </r>
  </si>
  <si>
    <r>
      <rPr>
        <b/>
        <u/>
        <sz val="11"/>
        <rFont val="Calibri"/>
        <family val="2"/>
        <scheme val="minor"/>
      </rPr>
      <t>Number of amplicons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are the last 1-4 digits; Example: In Custom Panel CNGHS-00137X-250, the number of amplicons is 250, and falls in the range of 201-300</t>
    </r>
  </si>
  <si>
    <r>
      <rPr>
        <b/>
        <u/>
        <sz val="11"/>
        <color theme="1"/>
        <rFont val="Calibri"/>
        <family val="2"/>
        <scheme val="minor"/>
      </rPr>
      <t>Custom and Mix-n-Match Cat numbers</t>
    </r>
    <r>
      <rPr>
        <sz val="11"/>
        <color theme="1"/>
        <rFont val="Calibri"/>
        <family val="2"/>
        <scheme val="minor"/>
      </rPr>
      <t xml:space="preserve"> are obtained either from the NGS online builder or the BRC Custom team (BRC.Custom@qiagen.com)</t>
    </r>
  </si>
  <si>
    <t>NGQA-002RE-1</t>
  </si>
  <si>
    <t>NGQA-002NE-1</t>
  </si>
  <si>
    <t>NGQA-002NG-1</t>
  </si>
  <si>
    <t>00360X-1574</t>
  </si>
  <si>
    <t>None</t>
  </si>
  <si>
    <t>Modified March 25, 2015</t>
  </si>
  <si>
    <t>Applies to the 96-well compatible workflow</t>
  </si>
  <si>
    <t>QIAGEN Rotor-Gene (6000)</t>
  </si>
  <si>
    <t>QIAGEN Rotor-Gene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</si>
</sst>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3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auto="1"/>
      </right>
      <top/>
      <bottom style="thin">
        <color theme="0" tint="-4.9989318521683403E-2"/>
      </bottom>
      <diagonal/>
    </border>
    <border>
      <left style="thin">
        <color auto="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15" fillId="0" borderId="0">
      <alignment vertical="top"/>
    </xf>
  </cellStyleXfs>
  <cellXfs count="2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" fontId="0" fillId="0" borderId="0" xfId="0" applyNumberFormat="1"/>
    <xf numFmtId="0" fontId="0" fillId="2" borderId="6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1" xfId="0" applyBorder="1"/>
    <xf numFmtId="0" fontId="4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0" fillId="2" borderId="31" xfId="0" applyFill="1" applyBorder="1"/>
    <xf numFmtId="0" fontId="0" fillId="3" borderId="31" xfId="0" applyFill="1" applyBorder="1"/>
    <xf numFmtId="0" fontId="2" fillId="0" borderId="33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0" xfId="0" quotePrefix="1"/>
    <xf numFmtId="0" fontId="0" fillId="0" borderId="2" xfId="0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2" xfId="0" applyBorder="1"/>
    <xf numFmtId="0" fontId="6" fillId="6" borderId="2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6" borderId="2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6" fillId="6" borderId="2" xfId="0" quotePrefix="1" applyNumberFormat="1" applyFont="1" applyFill="1" applyBorder="1" applyAlignment="1">
      <alignment horizontal="left" vertical="center"/>
    </xf>
    <xf numFmtId="0" fontId="6" fillId="6" borderId="2" xfId="1" quotePrefix="1" applyNumberFormat="1" applyFont="1" applyFill="1" applyBorder="1" applyAlignment="1">
      <alignment horizontal="left" vertical="center"/>
    </xf>
    <xf numFmtId="1" fontId="0" fillId="0" borderId="0" xfId="0" quotePrefix="1" applyNumberFormat="1" applyFont="1" applyFill="1" applyAlignment="1">
      <alignment vertical="center"/>
    </xf>
    <xf numFmtId="0" fontId="0" fillId="0" borderId="2" xfId="0" applyBorder="1" applyAlignment="1" applyProtection="1">
      <alignment horizontal="center" vertical="center"/>
    </xf>
    <xf numFmtId="3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3" fontId="0" fillId="0" borderId="0" xfId="0" applyNumberFormat="1"/>
    <xf numFmtId="3" fontId="0" fillId="0" borderId="2" xfId="0" applyNumberFormat="1" applyBorder="1"/>
    <xf numFmtId="0" fontId="0" fillId="0" borderId="0" xfId="0" applyProtection="1"/>
    <xf numFmtId="0" fontId="0" fillId="8" borderId="0" xfId="0" applyFill="1" applyAlignment="1" applyProtection="1">
      <alignment horizontal="center" vertical="center"/>
    </xf>
    <xf numFmtId="0" fontId="0" fillId="8" borderId="0" xfId="0" applyFill="1" applyProtection="1"/>
    <xf numFmtId="0" fontId="0" fillId="8" borderId="0" xfId="0" applyFill="1" applyAlignment="1" applyProtection="1">
      <alignment horizontal="center" vertical="center" wrapText="1"/>
    </xf>
    <xf numFmtId="0" fontId="0" fillId="0" borderId="41" xfId="0" applyBorder="1" applyProtection="1"/>
    <xf numFmtId="0" fontId="11" fillId="0" borderId="44" xfId="0" applyFont="1" applyBorder="1" applyAlignment="1" applyProtection="1">
      <alignment horizontal="center" vertical="center"/>
    </xf>
    <xf numFmtId="0" fontId="11" fillId="8" borderId="41" xfId="0" applyFont="1" applyFill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vertical="center"/>
    </xf>
    <xf numFmtId="0" fontId="11" fillId="0" borderId="44" xfId="0" applyFont="1" applyFill="1" applyBorder="1" applyAlignment="1" applyProtection="1">
      <alignment horizontal="center" vertical="center"/>
    </xf>
    <xf numFmtId="0" fontId="0" fillId="0" borderId="42" xfId="0" applyBorder="1" applyProtection="1"/>
    <xf numFmtId="0" fontId="16" fillId="4" borderId="2" xfId="0" applyFont="1" applyFill="1" applyBorder="1" applyAlignment="1" applyProtection="1">
      <alignment horizontal="center" vertical="center"/>
    </xf>
    <xf numFmtId="0" fontId="17" fillId="8" borderId="73" xfId="0" applyFont="1" applyFill="1" applyBorder="1" applyAlignment="1" applyProtection="1">
      <alignment horizontal="center" vertical="center"/>
    </xf>
    <xf numFmtId="0" fontId="17" fillId="7" borderId="52" xfId="0" applyFont="1" applyFill="1" applyBorder="1" applyAlignment="1" applyProtection="1">
      <alignment horizontal="center" vertical="center"/>
    </xf>
    <xf numFmtId="0" fontId="17" fillId="8" borderId="25" xfId="0" applyFont="1" applyFill="1" applyBorder="1" applyAlignment="1" applyProtection="1">
      <alignment horizontal="center" vertical="center"/>
    </xf>
    <xf numFmtId="0" fontId="17" fillId="8" borderId="87" xfId="0" applyFont="1" applyFill="1" applyBorder="1" applyAlignment="1" applyProtection="1">
      <alignment horizontal="center" vertical="center"/>
    </xf>
    <xf numFmtId="0" fontId="17" fillId="8" borderId="55" xfId="0" applyFont="1" applyFill="1" applyBorder="1" applyAlignment="1" applyProtection="1">
      <alignment horizontal="center" vertical="center"/>
    </xf>
    <xf numFmtId="0" fontId="11" fillId="8" borderId="87" xfId="0" applyFont="1" applyFill="1" applyBorder="1" applyAlignment="1" applyProtection="1">
      <alignment horizontal="center" vertical="center" wrapText="1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12" fillId="2" borderId="57" xfId="0" applyFont="1" applyFill="1" applyBorder="1" applyAlignment="1" applyProtection="1">
      <alignment horizontal="center" vertical="center"/>
    </xf>
    <xf numFmtId="0" fontId="12" fillId="2" borderId="53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</xf>
    <xf numFmtId="0" fontId="11" fillId="2" borderId="50" xfId="0" applyFont="1" applyFill="1" applyBorder="1" applyAlignment="1" applyProtection="1">
      <alignment horizontal="center" vertical="center"/>
    </xf>
    <xf numFmtId="0" fontId="11" fillId="2" borderId="51" xfId="0" applyFont="1" applyFill="1" applyBorder="1" applyAlignment="1" applyProtection="1">
      <alignment horizontal="center" vertical="center"/>
    </xf>
    <xf numFmtId="0" fontId="0" fillId="8" borderId="41" xfId="0" applyFill="1" applyBorder="1" applyProtection="1"/>
    <xf numFmtId="0" fontId="12" fillId="8" borderId="61" xfId="0" applyFont="1" applyFill="1" applyBorder="1" applyAlignment="1" applyProtection="1">
      <alignment vertical="center"/>
    </xf>
    <xf numFmtId="0" fontId="12" fillId="8" borderId="87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horizontal="center" vertical="center"/>
    </xf>
    <xf numFmtId="0" fontId="11" fillId="3" borderId="63" xfId="0" applyFont="1" applyFill="1" applyBorder="1" applyAlignment="1" applyProtection="1">
      <alignment horizontal="center" vertical="center"/>
    </xf>
    <xf numFmtId="0" fontId="11" fillId="3" borderId="60" xfId="0" applyFont="1" applyFill="1" applyBorder="1" applyAlignment="1" applyProtection="1">
      <alignment horizontal="center" vertical="center"/>
    </xf>
    <xf numFmtId="0" fontId="11" fillId="3" borderId="64" xfId="0" applyFont="1" applyFill="1" applyBorder="1" applyAlignment="1" applyProtection="1">
      <alignment horizontal="center" vertical="center"/>
    </xf>
    <xf numFmtId="0" fontId="11" fillId="8" borderId="0" xfId="0" applyFont="1" applyFill="1" applyBorder="1" applyAlignment="1" applyProtection="1">
      <alignment horizontal="center" vertical="center" wrapText="1"/>
    </xf>
    <xf numFmtId="0" fontId="13" fillId="8" borderId="0" xfId="0" applyFont="1" applyFill="1" applyBorder="1" applyAlignment="1" applyProtection="1">
      <alignment horizontal="center" vertical="center" wrapText="1"/>
    </xf>
    <xf numFmtId="0" fontId="11" fillId="9" borderId="70" xfId="0" applyFont="1" applyFill="1" applyBorder="1" applyAlignment="1" applyProtection="1">
      <alignment horizontal="center" vertical="center"/>
    </xf>
    <xf numFmtId="0" fontId="11" fillId="9" borderId="79" xfId="0" applyFont="1" applyFill="1" applyBorder="1" applyAlignment="1" applyProtection="1">
      <alignment horizontal="center" vertical="center" wrapText="1"/>
    </xf>
    <xf numFmtId="0" fontId="11" fillId="9" borderId="70" xfId="0" applyFont="1" applyFill="1" applyBorder="1" applyAlignment="1" applyProtection="1">
      <alignment horizontal="center" vertical="center" wrapText="1"/>
    </xf>
    <xf numFmtId="0" fontId="11" fillId="9" borderId="68" xfId="0" applyFont="1" applyFill="1" applyBorder="1" applyAlignment="1" applyProtection="1">
      <alignment horizontal="center" vertical="center" wrapText="1"/>
    </xf>
    <xf numFmtId="0" fontId="11" fillId="9" borderId="74" xfId="0" applyFont="1" applyFill="1" applyBorder="1" applyAlignment="1" applyProtection="1">
      <alignment horizontal="center" vertical="center" wrapText="1"/>
    </xf>
    <xf numFmtId="0" fontId="11" fillId="9" borderId="72" xfId="0" applyFont="1" applyFill="1" applyBorder="1" applyAlignment="1" applyProtection="1">
      <alignment horizontal="center" vertical="center" wrapText="1"/>
    </xf>
    <xf numFmtId="0" fontId="11" fillId="9" borderId="72" xfId="0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horizontal="center" vertical="center" wrapText="1"/>
    </xf>
    <xf numFmtId="0" fontId="11" fillId="8" borderId="89" xfId="0" applyFont="1" applyFill="1" applyBorder="1" applyAlignment="1" applyProtection="1">
      <alignment horizontal="center" vertical="center"/>
    </xf>
    <xf numFmtId="0" fontId="11" fillId="10" borderId="80" xfId="0" applyFont="1" applyFill="1" applyBorder="1" applyAlignment="1" applyProtection="1">
      <alignment horizontal="center" vertical="center" wrapText="1"/>
    </xf>
    <xf numFmtId="0" fontId="11" fillId="10" borderId="86" xfId="0" applyFont="1" applyFill="1" applyBorder="1" applyAlignment="1" applyProtection="1">
      <alignment horizontal="center" vertical="center"/>
    </xf>
    <xf numFmtId="0" fontId="11" fillId="10" borderId="80" xfId="0" applyFont="1" applyFill="1" applyBorder="1" applyAlignment="1" applyProtection="1">
      <alignment horizontal="center" vertical="center"/>
    </xf>
    <xf numFmtId="0" fontId="0" fillId="8" borderId="87" xfId="0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2" fontId="0" fillId="8" borderId="0" xfId="0" applyNumberFormat="1" applyFill="1" applyAlignment="1" applyProtection="1">
      <alignment horizontal="center" vertical="center"/>
    </xf>
    <xf numFmtId="0" fontId="0" fillId="8" borderId="87" xfId="0" applyFill="1" applyBorder="1" applyProtection="1"/>
    <xf numFmtId="0" fontId="0" fillId="8" borderId="0" xfId="0" applyFill="1" applyAlignment="1" applyProtection="1">
      <alignment vertical="center" wrapText="1"/>
    </xf>
    <xf numFmtId="0" fontId="0" fillId="8" borderId="0" xfId="0" applyFill="1" applyAlignment="1" applyProtection="1">
      <alignment vertical="center"/>
    </xf>
    <xf numFmtId="0" fontId="6" fillId="8" borderId="0" xfId="0" applyFont="1" applyFill="1" applyProtection="1"/>
    <xf numFmtId="0" fontId="5" fillId="0" borderId="38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0" fillId="3" borderId="37" xfId="0" applyFill="1" applyBorder="1"/>
    <xf numFmtId="0" fontId="0" fillId="3" borderId="32" xfId="0" applyFill="1" applyBorder="1"/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6" fillId="8" borderId="0" xfId="0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1" fontId="0" fillId="2" borderId="0" xfId="0" applyNumberFormat="1" applyFill="1" applyBorder="1" applyAlignment="1" applyProtection="1">
      <alignment horizontal="center" vertical="center"/>
      <protection hidden="1"/>
    </xf>
    <xf numFmtId="2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2" fontId="0" fillId="3" borderId="0" xfId="0" applyNumberForma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2" fontId="0" fillId="3" borderId="12" xfId="0" applyNumberForma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25" xfId="0" applyFill="1" applyBorder="1" applyAlignment="1" applyProtection="1">
      <alignment horizontal="center" vertical="center"/>
      <protection hidden="1"/>
    </xf>
    <xf numFmtId="2" fontId="0" fillId="3" borderId="25" xfId="0" applyNumberFormat="1" applyFill="1" applyBorder="1" applyAlignment="1" applyProtection="1">
      <alignment horizontal="center" vertical="center"/>
      <protection hidden="1"/>
    </xf>
    <xf numFmtId="0" fontId="0" fillId="3" borderId="25" xfId="0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1" fontId="0" fillId="3" borderId="0" xfId="0" applyNumberFormat="1" applyFill="1" applyBorder="1" applyAlignment="1" applyProtection="1">
      <alignment horizontal="center" vertical="center"/>
      <protection hidden="1"/>
    </xf>
    <xf numFmtId="2" fontId="0" fillId="5" borderId="0" xfId="0" applyNumberForma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horizontal="center" vertical="center" wrapText="1"/>
      <protection hidden="1"/>
    </xf>
    <xf numFmtId="0" fontId="0" fillId="8" borderId="0" xfId="0" applyFill="1" applyBorder="1" applyAlignment="1" applyProtection="1">
      <alignment horizontal="center"/>
      <protection hidden="1"/>
    </xf>
    <xf numFmtId="3" fontId="0" fillId="2" borderId="0" xfId="0" applyNumberFormat="1" applyFill="1" applyAlignment="1" applyProtection="1">
      <alignment horizontal="center" vertical="center"/>
      <protection hidden="1"/>
    </xf>
    <xf numFmtId="3" fontId="0" fillId="8" borderId="0" xfId="0" applyNumberFormat="1" applyFill="1" applyAlignment="1" applyProtection="1">
      <alignment horizontal="center" vertical="center"/>
      <protection hidden="1"/>
    </xf>
    <xf numFmtId="0" fontId="6" fillId="8" borderId="0" xfId="0" applyFont="1" applyFill="1" applyProtection="1">
      <protection hidden="1"/>
    </xf>
    <xf numFmtId="0" fontId="19" fillId="8" borderId="0" xfId="0" applyFont="1" applyFill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1" fontId="1" fillId="2" borderId="0" xfId="0" applyNumberFormat="1" applyFont="1" applyFill="1" applyAlignment="1" applyProtection="1">
      <alignment horizontal="center" vertical="center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20" fillId="9" borderId="2" xfId="0" applyFont="1" applyFill="1" applyBorder="1" applyAlignment="1" applyProtection="1">
      <alignment horizontal="center" vertical="center"/>
      <protection locked="0"/>
    </xf>
    <xf numFmtId="0" fontId="21" fillId="2" borderId="12" xfId="0" applyFont="1" applyFill="1" applyBorder="1" applyAlignment="1" applyProtection="1">
      <alignment horizontal="center" vertical="center"/>
      <protection hidden="1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vertical="center" wrapText="1"/>
    </xf>
    <xf numFmtId="0" fontId="11" fillId="2" borderId="55" xfId="0" applyFont="1" applyFill="1" applyBorder="1" applyAlignment="1" applyProtection="1">
      <alignment horizontal="center" vertical="center"/>
    </xf>
    <xf numFmtId="0" fontId="12" fillId="2" borderId="93" xfId="0" applyFont="1" applyFill="1" applyBorder="1" applyAlignment="1" applyProtection="1">
      <alignment horizontal="center" vertical="center"/>
      <protection locked="0"/>
    </xf>
    <xf numFmtId="0" fontId="12" fillId="10" borderId="93" xfId="0" applyFont="1" applyFill="1" applyBorder="1" applyAlignment="1" applyProtection="1">
      <alignment horizontal="center" vertical="center"/>
      <protection locked="0"/>
    </xf>
    <xf numFmtId="0" fontId="6" fillId="8" borderId="0" xfId="0" applyFont="1" applyFill="1" applyAlignment="1" applyProtection="1">
      <alignment vertical="center"/>
    </xf>
    <xf numFmtId="0" fontId="11" fillId="10" borderId="85" xfId="0" applyFont="1" applyFill="1" applyBorder="1" applyAlignment="1" applyProtection="1">
      <alignment horizontal="center" vertical="center"/>
    </xf>
    <xf numFmtId="0" fontId="11" fillId="10" borderId="80" xfId="0" applyFont="1" applyFill="1" applyBorder="1" applyAlignment="1" applyProtection="1">
      <alignment horizontal="center" vertical="center"/>
    </xf>
    <xf numFmtId="0" fontId="13" fillId="3" borderId="63" xfId="0" applyFont="1" applyFill="1" applyBorder="1" applyAlignment="1" applyProtection="1">
      <alignment horizontal="center" vertical="center" wrapText="1"/>
    </xf>
    <xf numFmtId="0" fontId="13" fillId="3" borderId="60" xfId="0" applyFont="1" applyFill="1" applyBorder="1" applyAlignment="1" applyProtection="1">
      <alignment horizontal="center" vertical="center" wrapText="1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8" xfId="0" applyFont="1" applyFill="1" applyBorder="1" applyAlignment="1" applyProtection="1">
      <alignment horizontal="center" vertical="center"/>
    </xf>
    <xf numFmtId="0" fontId="11" fillId="2" borderId="51" xfId="0" applyFont="1" applyFill="1" applyBorder="1" applyAlignment="1" applyProtection="1">
      <alignment horizontal="center" vertical="center"/>
    </xf>
    <xf numFmtId="0" fontId="11" fillId="2" borderId="49" xfId="0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horizontal="center" vertical="center"/>
    </xf>
    <xf numFmtId="0" fontId="11" fillId="10" borderId="88" xfId="0" applyFont="1" applyFill="1" applyBorder="1" applyAlignment="1" applyProtection="1">
      <alignment horizontal="center" vertical="center"/>
    </xf>
    <xf numFmtId="0" fontId="11" fillId="9" borderId="75" xfId="0" applyFont="1" applyFill="1" applyBorder="1" applyAlignment="1" applyProtection="1">
      <alignment horizontal="center" vertical="center" wrapText="1"/>
    </xf>
    <xf numFmtId="0" fontId="11" fillId="9" borderId="76" xfId="0" applyFont="1" applyFill="1" applyBorder="1" applyAlignment="1" applyProtection="1">
      <alignment horizontal="center" vertical="center" wrapText="1"/>
      <protection locked="0"/>
    </xf>
    <xf numFmtId="0" fontId="11" fillId="9" borderId="77" xfId="0" applyFont="1" applyFill="1" applyBorder="1" applyAlignment="1" applyProtection="1">
      <alignment horizontal="center" vertical="center" wrapText="1"/>
      <protection locked="0"/>
    </xf>
    <xf numFmtId="0" fontId="11" fillId="9" borderId="78" xfId="0" applyFont="1" applyFill="1" applyBorder="1" applyAlignment="1" applyProtection="1">
      <alignment horizontal="center" vertical="center" wrapText="1"/>
      <protection locked="0"/>
    </xf>
    <xf numFmtId="0" fontId="12" fillId="2" borderId="49" xfId="0" applyFont="1" applyFill="1" applyBorder="1" applyAlignment="1" applyProtection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</xf>
    <xf numFmtId="0" fontId="11" fillId="3" borderId="63" xfId="0" applyFont="1" applyFill="1" applyBorder="1" applyAlignment="1" applyProtection="1">
      <alignment horizontal="center" vertical="center"/>
      <protection hidden="1"/>
    </xf>
    <xf numFmtId="0" fontId="11" fillId="3" borderId="62" xfId="0" applyFont="1" applyFill="1" applyBorder="1" applyAlignment="1" applyProtection="1">
      <alignment horizontal="center" vertical="center"/>
      <protection hidden="1"/>
    </xf>
    <xf numFmtId="0" fontId="11" fillId="3" borderId="63" xfId="0" applyFont="1" applyFill="1" applyBorder="1" applyAlignment="1" applyProtection="1">
      <alignment horizontal="center" vertical="center"/>
    </xf>
    <xf numFmtId="0" fontId="11" fillId="3" borderId="62" xfId="0" applyFont="1" applyFill="1" applyBorder="1" applyAlignment="1" applyProtection="1">
      <alignment horizontal="center" vertical="center"/>
    </xf>
    <xf numFmtId="0" fontId="11" fillId="9" borderId="82" xfId="0" applyFont="1" applyFill="1" applyBorder="1" applyAlignment="1" applyProtection="1">
      <alignment horizontal="center" vertical="center"/>
    </xf>
    <xf numFmtId="0" fontId="11" fillId="9" borderId="61" xfId="0" applyFont="1" applyFill="1" applyBorder="1" applyAlignment="1" applyProtection="1">
      <alignment horizontal="center" vertical="center"/>
    </xf>
    <xf numFmtId="0" fontId="12" fillId="10" borderId="80" xfId="0" applyFont="1" applyFill="1" applyBorder="1" applyAlignment="1" applyProtection="1">
      <alignment horizontal="center" vertical="center" wrapText="1"/>
    </xf>
    <xf numFmtId="0" fontId="12" fillId="10" borderId="84" xfId="0" applyFont="1" applyFill="1" applyBorder="1" applyAlignment="1" applyProtection="1">
      <alignment horizontal="center" vertical="center" wrapText="1"/>
    </xf>
    <xf numFmtId="0" fontId="11" fillId="10" borderId="84" xfId="0" applyFont="1" applyFill="1" applyBorder="1" applyAlignment="1" applyProtection="1">
      <alignment horizontal="center" vertical="center"/>
    </xf>
    <xf numFmtId="0" fontId="11" fillId="3" borderId="63" xfId="0" applyFont="1" applyFill="1" applyBorder="1" applyAlignment="1" applyProtection="1">
      <alignment horizontal="center" vertical="center" wrapText="1"/>
    </xf>
    <xf numFmtId="0" fontId="11" fillId="3" borderId="62" xfId="0" applyFont="1" applyFill="1" applyBorder="1" applyAlignment="1" applyProtection="1">
      <alignment horizontal="center" vertical="center" wrapText="1"/>
    </xf>
    <xf numFmtId="0" fontId="11" fillId="3" borderId="65" xfId="0" applyFont="1" applyFill="1" applyBorder="1" applyAlignment="1" applyProtection="1">
      <alignment horizontal="center" vertical="center" wrapText="1"/>
    </xf>
    <xf numFmtId="0" fontId="14" fillId="9" borderId="83" xfId="0" applyFont="1" applyFill="1" applyBorder="1" applyAlignment="1" applyProtection="1">
      <alignment horizontal="center" vertical="center" wrapText="1"/>
    </xf>
    <xf numFmtId="0" fontId="14" fillId="9" borderId="75" xfId="0" applyFont="1" applyFill="1" applyBorder="1" applyAlignment="1" applyProtection="1">
      <alignment horizontal="center" vertical="center" wrapText="1"/>
    </xf>
    <xf numFmtId="0" fontId="11" fillId="9" borderId="66" xfId="0" applyFont="1" applyFill="1" applyBorder="1" applyAlignment="1" applyProtection="1">
      <alignment horizontal="center" vertical="center" wrapText="1"/>
    </xf>
    <xf numFmtId="0" fontId="11" fillId="9" borderId="67" xfId="0" applyFont="1" applyFill="1" applyBorder="1" applyAlignment="1" applyProtection="1">
      <alignment horizontal="center" vertical="center" wrapText="1"/>
    </xf>
    <xf numFmtId="0" fontId="11" fillId="9" borderId="81" xfId="0" applyFont="1" applyFill="1" applyBorder="1" applyAlignment="1" applyProtection="1">
      <alignment horizontal="center" vertical="center" wrapText="1"/>
    </xf>
    <xf numFmtId="0" fontId="12" fillId="2" borderId="59" xfId="0" applyFont="1" applyFill="1" applyBorder="1" applyAlignment="1" applyProtection="1">
      <alignment horizontal="center" vertical="center"/>
    </xf>
    <xf numFmtId="0" fontId="12" fillId="2" borderId="53" xfId="0" applyFont="1" applyFill="1" applyBorder="1" applyAlignment="1" applyProtection="1">
      <alignment horizontal="center" vertical="center"/>
    </xf>
    <xf numFmtId="0" fontId="11" fillId="4" borderId="52" xfId="0" applyFont="1" applyFill="1" applyBorder="1" applyAlignment="1" applyProtection="1">
      <alignment horizontal="center" vertical="center" wrapText="1"/>
      <protection locked="0"/>
    </xf>
    <xf numFmtId="0" fontId="11" fillId="4" borderId="54" xfId="0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 applyProtection="1">
      <alignment horizontal="center" vertical="center" wrapText="1"/>
    </xf>
    <xf numFmtId="0" fontId="11" fillId="2" borderId="50" xfId="0" applyFont="1" applyFill="1" applyBorder="1" applyAlignment="1" applyProtection="1">
      <alignment horizontal="center" vertical="center"/>
    </xf>
    <xf numFmtId="0" fontId="11" fillId="9" borderId="76" xfId="0" applyFont="1" applyFill="1" applyBorder="1" applyAlignment="1" applyProtection="1">
      <alignment horizontal="center" vertical="center"/>
      <protection locked="0"/>
    </xf>
    <xf numFmtId="0" fontId="11" fillId="9" borderId="78" xfId="0" applyFont="1" applyFill="1" applyBorder="1" applyAlignment="1" applyProtection="1">
      <alignment horizontal="center" vertical="center"/>
      <protection locked="0"/>
    </xf>
    <xf numFmtId="0" fontId="11" fillId="9" borderId="47" xfId="0" applyFont="1" applyFill="1" applyBorder="1" applyAlignment="1" applyProtection="1">
      <alignment horizontal="center" vertical="center" wrapText="1"/>
    </xf>
    <xf numFmtId="0" fontId="11" fillId="9" borderId="48" xfId="0" applyFont="1" applyFill="1" applyBorder="1" applyAlignment="1" applyProtection="1">
      <alignment horizontal="center" vertical="center" wrapText="1"/>
    </xf>
    <xf numFmtId="0" fontId="11" fillId="9" borderId="43" xfId="0" applyFont="1" applyFill="1" applyBorder="1" applyAlignment="1" applyProtection="1">
      <alignment horizontal="center" vertical="center" wrapText="1"/>
    </xf>
    <xf numFmtId="0" fontId="11" fillId="9" borderId="42" xfId="0" applyFont="1" applyFill="1" applyBorder="1" applyAlignment="1" applyProtection="1">
      <alignment horizontal="center" vertical="center" wrapText="1"/>
    </xf>
    <xf numFmtId="0" fontId="11" fillId="9" borderId="69" xfId="0" applyFont="1" applyFill="1" applyBorder="1" applyAlignment="1" applyProtection="1">
      <alignment horizontal="center" vertical="center" wrapText="1"/>
    </xf>
    <xf numFmtId="0" fontId="11" fillId="9" borderId="71" xfId="0" applyFont="1" applyFill="1" applyBorder="1" applyAlignment="1" applyProtection="1">
      <alignment horizontal="center" vertical="center" wrapText="1"/>
    </xf>
    <xf numFmtId="0" fontId="11" fillId="3" borderId="60" xfId="0" applyFont="1" applyFill="1" applyBorder="1" applyAlignment="1" applyProtection="1">
      <alignment horizontal="center" vertical="center"/>
    </xf>
    <xf numFmtId="0" fontId="11" fillId="9" borderId="70" xfId="0" applyFont="1" applyFill="1" applyBorder="1" applyAlignment="1" applyProtection="1">
      <alignment horizontal="center" vertical="center" wrapText="1"/>
    </xf>
    <xf numFmtId="0" fontId="11" fillId="9" borderId="68" xfId="0" applyFont="1" applyFill="1" applyBorder="1" applyAlignment="1" applyProtection="1">
      <alignment horizontal="center" vertical="center" wrapText="1"/>
    </xf>
    <xf numFmtId="0" fontId="11" fillId="9" borderId="45" xfId="0" applyFont="1" applyFill="1" applyBorder="1" applyAlignment="1" applyProtection="1">
      <alignment horizontal="center" vertical="center" wrapText="1"/>
      <protection locked="0"/>
    </xf>
    <xf numFmtId="0" fontId="11" fillId="9" borderId="73" xfId="0" applyFont="1" applyFill="1" applyBorder="1" applyAlignment="1" applyProtection="1">
      <alignment horizontal="center" vertical="center" wrapText="1"/>
      <protection locked="0"/>
    </xf>
    <xf numFmtId="0" fontId="11" fillId="9" borderId="46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25" xfId="0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wrapText="1"/>
      <protection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center" vertical="center" wrapText="1"/>
      <protection hidden="1"/>
    </xf>
    <xf numFmtId="0" fontId="0" fillId="2" borderId="52" xfId="0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92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</cellXfs>
  <cellStyles count="2">
    <cellStyle name="Normal" xfId="0" builtinId="0"/>
    <cellStyle name="Standard_Nextal Key material number to Price Materi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38"/>
  <sheetViews>
    <sheetView tabSelected="1" workbookViewId="0">
      <selection activeCell="E27" sqref="E27"/>
    </sheetView>
  </sheetViews>
  <sheetFormatPr defaultRowHeight="15" x14ac:dyDescent="0.25"/>
  <cols>
    <col min="1" max="1" width="2.85546875" style="46" customWidth="1"/>
    <col min="2" max="2" width="11.28515625" style="46" customWidth="1"/>
    <col min="3" max="3" width="0.85546875" style="96" customWidth="1"/>
    <col min="4" max="4" width="14" style="46" customWidth="1"/>
    <col min="5" max="5" width="33.5703125" style="46" customWidth="1"/>
    <col min="6" max="6" width="40.28515625" style="46" bestFit="1" customWidth="1"/>
    <col min="7" max="7" width="9.28515625" style="46" customWidth="1"/>
    <col min="8" max="8" width="7.5703125" style="46" customWidth="1"/>
    <col min="9" max="9" width="7.28515625" style="46" customWidth="1"/>
    <col min="10" max="10" width="2.85546875" style="46" customWidth="1"/>
    <col min="11" max="11" width="7.42578125" style="46" customWidth="1"/>
    <col min="12" max="12" width="20.7109375" style="46" customWidth="1"/>
    <col min="13" max="16384" width="9.140625" style="46"/>
  </cols>
  <sheetData>
    <row r="1" spans="1:22" ht="10.5" customHeight="1" x14ac:dyDescent="0.25">
      <c r="A1" s="50"/>
      <c r="B1" s="51"/>
      <c r="C1" s="52"/>
      <c r="D1" s="51"/>
      <c r="E1" s="51"/>
      <c r="F1" s="51"/>
      <c r="G1" s="53"/>
      <c r="H1" s="54"/>
      <c r="I1" s="54"/>
      <c r="J1" s="54"/>
      <c r="K1" s="54"/>
      <c r="L1" s="54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ht="20.25" customHeight="1" x14ac:dyDescent="0.25">
      <c r="A2" s="55"/>
      <c r="B2" s="56"/>
      <c r="C2" s="57"/>
      <c r="D2" s="166" t="s">
        <v>265</v>
      </c>
      <c r="E2" s="166"/>
      <c r="F2" s="58" t="s">
        <v>255</v>
      </c>
      <c r="G2" s="166" t="s">
        <v>254</v>
      </c>
      <c r="H2" s="166"/>
      <c r="I2" s="166"/>
      <c r="J2" s="166"/>
      <c r="K2" s="166"/>
      <c r="L2" s="166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5.25" customHeight="1" x14ac:dyDescent="0.25">
      <c r="A3" s="55"/>
      <c r="B3" s="59"/>
      <c r="C3" s="60"/>
      <c r="D3" s="61"/>
      <c r="E3" s="61"/>
      <c r="F3" s="59"/>
      <c r="G3" s="61"/>
      <c r="H3" s="61"/>
      <c r="I3" s="61"/>
      <c r="J3" s="61"/>
      <c r="K3" s="61"/>
      <c r="L3" s="61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20.25" customHeight="1" x14ac:dyDescent="0.25">
      <c r="A4" s="55"/>
      <c r="B4" s="193"/>
      <c r="C4" s="62"/>
      <c r="D4" s="162" t="s">
        <v>304</v>
      </c>
      <c r="E4" s="163"/>
      <c r="F4" s="36" t="s">
        <v>514</v>
      </c>
      <c r="G4" s="191"/>
      <c r="H4" s="192"/>
      <c r="I4" s="192"/>
      <c r="J4" s="192"/>
      <c r="K4" s="192"/>
      <c r="L4" s="192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 ht="3.75" customHeight="1" x14ac:dyDescent="0.25">
      <c r="A5" s="55"/>
      <c r="B5" s="194"/>
      <c r="C5" s="62"/>
      <c r="D5" s="63"/>
      <c r="E5" s="64"/>
      <c r="F5" s="65"/>
      <c r="G5" s="66"/>
      <c r="H5" s="67"/>
      <c r="I5" s="67"/>
      <c r="J5" s="67"/>
      <c r="K5" s="67"/>
      <c r="L5" s="67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ht="20.25" customHeight="1" x14ac:dyDescent="0.25">
      <c r="A6" s="55"/>
      <c r="B6" s="194"/>
      <c r="C6" s="62"/>
      <c r="D6" s="165" t="s">
        <v>579</v>
      </c>
      <c r="E6" s="197"/>
      <c r="F6" s="150">
        <v>60</v>
      </c>
      <c r="G6" s="164" t="s">
        <v>257</v>
      </c>
      <c r="H6" s="165"/>
      <c r="I6" s="165"/>
      <c r="J6" s="165"/>
      <c r="K6" s="165"/>
      <c r="L6" s="165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ht="4.5" customHeight="1" thickBot="1" x14ac:dyDescent="0.3">
      <c r="A7" s="55"/>
      <c r="B7" s="194"/>
      <c r="C7" s="62"/>
      <c r="D7" s="68"/>
      <c r="E7" s="69"/>
      <c r="F7" s="154"/>
      <c r="G7" s="70"/>
      <c r="H7" s="68"/>
      <c r="I7" s="68"/>
      <c r="J7" s="68"/>
      <c r="K7" s="68"/>
      <c r="L7" s="6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ht="18" customHeight="1" thickTop="1" thickBot="1" x14ac:dyDescent="0.3">
      <c r="A8" s="50"/>
      <c r="B8" s="195"/>
      <c r="C8" s="62"/>
      <c r="D8" s="172" t="s">
        <v>278</v>
      </c>
      <c r="E8" s="173"/>
      <c r="F8" s="155" t="s">
        <v>1</v>
      </c>
      <c r="G8" s="164" t="s">
        <v>578</v>
      </c>
      <c r="H8" s="165"/>
      <c r="I8" s="165"/>
      <c r="J8" s="165"/>
      <c r="K8" s="165"/>
      <c r="L8" s="165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s="48" customFormat="1" ht="4.5" customHeight="1" thickTop="1" x14ac:dyDescent="0.25">
      <c r="A9" s="71"/>
      <c r="B9" s="72"/>
      <c r="C9" s="73"/>
      <c r="D9" s="74"/>
      <c r="E9" s="74"/>
      <c r="F9" s="74"/>
      <c r="G9" s="74"/>
      <c r="H9" s="74"/>
      <c r="I9" s="74"/>
      <c r="J9" s="74"/>
      <c r="K9" s="74"/>
      <c r="L9" s="74"/>
    </row>
    <row r="10" spans="1:22" ht="21.75" customHeight="1" x14ac:dyDescent="0.25">
      <c r="A10" s="50"/>
      <c r="B10" s="185" t="s">
        <v>253</v>
      </c>
      <c r="C10" s="62"/>
      <c r="D10" s="174" t="s">
        <v>279</v>
      </c>
      <c r="E10" s="175"/>
      <c r="F10" s="37" t="s">
        <v>611</v>
      </c>
      <c r="G10" s="176"/>
      <c r="H10" s="206"/>
      <c r="I10" s="206"/>
      <c r="J10" s="206"/>
      <c r="K10" s="206"/>
      <c r="L10" s="206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ht="4.5" customHeight="1" x14ac:dyDescent="0.25">
      <c r="A11" s="50"/>
      <c r="B11" s="185"/>
      <c r="C11" s="62"/>
      <c r="D11" s="75"/>
      <c r="E11" s="76"/>
      <c r="F11" s="77"/>
      <c r="G11" s="76"/>
      <c r="H11" s="76"/>
      <c r="I11" s="76"/>
      <c r="J11" s="76"/>
      <c r="K11" s="76"/>
      <c r="L11" s="76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1:22" ht="23.25" customHeight="1" x14ac:dyDescent="0.25">
      <c r="A12" s="50"/>
      <c r="B12" s="185"/>
      <c r="C12" s="62"/>
      <c r="D12" s="176" t="s">
        <v>280</v>
      </c>
      <c r="E12" s="177"/>
      <c r="F12" s="37" t="s">
        <v>38</v>
      </c>
      <c r="G12" s="176"/>
      <c r="H12" s="206"/>
      <c r="I12" s="206"/>
      <c r="J12" s="206"/>
      <c r="K12" s="206"/>
      <c r="L12" s="206"/>
      <c r="M12" s="48"/>
      <c r="N12" s="48"/>
      <c r="O12" s="48"/>
      <c r="P12" s="48"/>
      <c r="Q12" s="48"/>
      <c r="R12" s="48"/>
      <c r="S12" s="48"/>
      <c r="T12" s="48"/>
      <c r="U12" s="48"/>
      <c r="V12" s="48"/>
    </row>
    <row r="13" spans="1:22" ht="3.75" customHeight="1" x14ac:dyDescent="0.25">
      <c r="A13" s="50"/>
      <c r="B13" s="185"/>
      <c r="C13" s="62"/>
      <c r="D13" s="75"/>
      <c r="E13" s="76"/>
      <c r="F13" s="77"/>
      <c r="G13" s="76"/>
      <c r="H13" s="76"/>
      <c r="I13" s="76"/>
      <c r="J13" s="76"/>
      <c r="K13" s="76"/>
      <c r="L13" s="76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1:22" ht="24" customHeight="1" x14ac:dyDescent="0.25">
      <c r="A14" s="50"/>
      <c r="B14" s="185"/>
      <c r="C14" s="62"/>
      <c r="D14" s="183" t="str">
        <f>IF(F12="Assay","","Is QC of targeted enrichment step required?")</f>
        <v>Is QC of targeted enrichment step required?</v>
      </c>
      <c r="E14" s="184"/>
      <c r="F14" s="37" t="s">
        <v>97</v>
      </c>
      <c r="G14" s="160" t="str">
        <f>IF(F12="Assay","Ignore this entry if using the Assay Real-time PCR Format","")</f>
        <v/>
      </c>
      <c r="H14" s="161"/>
      <c r="I14" s="161"/>
      <c r="J14" s="161"/>
      <c r="K14" s="161"/>
      <c r="L14" s="161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2" ht="5.25" customHeight="1" x14ac:dyDescent="0.25">
      <c r="A15" s="50"/>
      <c r="B15" s="78"/>
      <c r="C15" s="62"/>
      <c r="D15" s="78"/>
      <c r="E15" s="78"/>
      <c r="F15" s="74"/>
      <c r="G15" s="79"/>
      <c r="H15" s="79"/>
      <c r="I15" s="79"/>
      <c r="J15" s="79"/>
      <c r="K15" s="79"/>
      <c r="L15" s="79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2" ht="18" customHeight="1" x14ac:dyDescent="0.25">
      <c r="A16" s="50"/>
      <c r="B16" s="188" t="s">
        <v>87</v>
      </c>
      <c r="C16" s="62"/>
      <c r="D16" s="200" t="s">
        <v>512</v>
      </c>
      <c r="E16" s="201"/>
      <c r="F16" s="209" t="s">
        <v>297</v>
      </c>
      <c r="G16" s="207" t="str">
        <f>IF(Input!F16="Custom Panel","Input Custom/Mix-n-Match Panel Info",IF(Input!F16="Mix-n-Match Panel"," Input Custom/Mix-n-Match Panel Info",""))</f>
        <v/>
      </c>
      <c r="H16" s="208"/>
      <c r="I16" s="208"/>
      <c r="J16" s="208"/>
      <c r="K16" s="208"/>
      <c r="L16" s="20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ht="33.75" customHeight="1" x14ac:dyDescent="0.25">
      <c r="A17" s="50"/>
      <c r="B17" s="189"/>
      <c r="C17" s="62"/>
      <c r="D17" s="202"/>
      <c r="E17" s="203"/>
      <c r="F17" s="210"/>
      <c r="G17" s="80" t="str">
        <f>IF(Input!F16="Custom Panel","Pre-Fix",IF(Input!F16="Mix-n-Match Panel","Pre-Fix",""))</f>
        <v/>
      </c>
      <c r="H17" s="168" t="str">
        <f>IF(Input!F16="Custom Panel","Cat Number (#####X-####)",IF(Input!F16="Mix-n-Match Panel","Cat Number (#####X-####)",""))</f>
        <v/>
      </c>
      <c r="I17" s="168"/>
      <c r="J17" s="168"/>
      <c r="K17" s="168" t="str">
        <f>IF(Input!F16="Custom Panel","Range of amplicons",IF(Input!F16="Mix-n-Match Panel","Range of amplicons",""))</f>
        <v/>
      </c>
      <c r="L17" s="16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ht="24.75" customHeight="1" x14ac:dyDescent="0.25">
      <c r="A18" s="50"/>
      <c r="B18" s="189"/>
      <c r="C18" s="62"/>
      <c r="D18" s="204"/>
      <c r="E18" s="205"/>
      <c r="F18" s="211"/>
      <c r="G18" s="81" t="str">
        <f>IF(F16="Custom Panel","CNGHS",IF(F16="Mix-n-Match Panel","MNGHS",""))</f>
        <v/>
      </c>
      <c r="H18" s="169" t="s">
        <v>607</v>
      </c>
      <c r="I18" s="170"/>
      <c r="J18" s="171"/>
      <c r="K18" s="198" t="s">
        <v>259</v>
      </c>
      <c r="L18" s="199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ht="3.75" customHeight="1" x14ac:dyDescent="0.25">
      <c r="A19" s="50"/>
      <c r="B19" s="189"/>
      <c r="C19" s="62"/>
      <c r="D19" s="82"/>
      <c r="E19" s="83"/>
      <c r="F19" s="84"/>
      <c r="G19" s="83"/>
      <c r="H19" s="85"/>
      <c r="I19" s="85"/>
      <c r="J19" s="85"/>
      <c r="K19" s="86"/>
      <c r="L19" s="86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2" ht="21" customHeight="1" x14ac:dyDescent="0.25">
      <c r="A20" s="50"/>
      <c r="B20" s="190"/>
      <c r="C20" s="62"/>
      <c r="D20" s="178" t="str">
        <f>IF(Input!F16="Custom Panel","",IF(Input!F16="Mix-n-Match Panel","","Cataloged Panel Sample Size?"))</f>
        <v>Cataloged Panel Sample Size?</v>
      </c>
      <c r="E20" s="179"/>
      <c r="F20" s="148">
        <v>96</v>
      </c>
      <c r="G20" s="186" t="str">
        <f>IF(Input!F16="Custom Panel","If Custom or Mix-n-Match panel, choose N/A",IF(Input!F16="Mix-n-Match Panel","If Custom or Mix-n-Match panel, choose N/A",""))</f>
        <v/>
      </c>
      <c r="H20" s="187"/>
      <c r="I20" s="187"/>
      <c r="J20" s="187"/>
      <c r="K20" s="187"/>
      <c r="L20" s="187"/>
      <c r="M20" s="48"/>
      <c r="N20" s="48"/>
      <c r="O20" s="48"/>
      <c r="P20" s="48"/>
      <c r="Q20" s="48"/>
      <c r="R20" s="48"/>
      <c r="S20" s="48"/>
      <c r="T20" s="48"/>
      <c r="U20" s="48"/>
      <c r="V20" s="48"/>
    </row>
    <row r="21" spans="1:22" s="48" customFormat="1" ht="3.75" customHeight="1" thickBot="1" x14ac:dyDescent="0.3">
      <c r="A21" s="71"/>
      <c r="B21" s="78"/>
      <c r="C21" s="62"/>
      <c r="D21" s="74"/>
      <c r="E21" s="74"/>
      <c r="F21" s="87"/>
      <c r="G21" s="88"/>
      <c r="H21" s="88"/>
      <c r="I21" s="88"/>
      <c r="J21" s="88"/>
      <c r="K21" s="88"/>
      <c r="L21" s="88"/>
    </row>
    <row r="22" spans="1:22" ht="21.75" customHeight="1" thickTop="1" thickBot="1" x14ac:dyDescent="0.3">
      <c r="A22" s="50"/>
      <c r="B22" s="167" t="s">
        <v>207</v>
      </c>
      <c r="C22" s="89"/>
      <c r="D22" s="180" t="s">
        <v>302</v>
      </c>
      <c r="E22" s="181"/>
      <c r="F22" s="156" t="s">
        <v>534</v>
      </c>
      <c r="G22" s="158" t="s">
        <v>535</v>
      </c>
      <c r="H22" s="159"/>
      <c r="I22" s="159"/>
      <c r="J22" s="159"/>
      <c r="K22" s="159"/>
      <c r="L22" s="159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ht="3.75" customHeight="1" thickTop="1" x14ac:dyDescent="0.25">
      <c r="A23" s="50"/>
      <c r="B23" s="167"/>
      <c r="C23" s="89"/>
      <c r="D23" s="90"/>
      <c r="E23" s="90"/>
      <c r="F23" s="91"/>
      <c r="G23" s="92"/>
      <c r="H23" s="92"/>
      <c r="I23" s="92"/>
      <c r="J23" s="92"/>
      <c r="K23" s="92"/>
      <c r="L23" s="92"/>
      <c r="M23" s="48"/>
      <c r="N23" s="48"/>
      <c r="O23" s="48"/>
      <c r="P23" s="48"/>
      <c r="Q23" s="48"/>
      <c r="R23" s="48"/>
      <c r="S23" s="48"/>
      <c r="T23" s="48"/>
      <c r="U23" s="48"/>
      <c r="V23" s="48"/>
    </row>
    <row r="24" spans="1:22" ht="23.25" customHeight="1" x14ac:dyDescent="0.25">
      <c r="A24" s="50"/>
      <c r="B24" s="167"/>
      <c r="C24" s="89"/>
      <c r="D24" s="159" t="s">
        <v>291</v>
      </c>
      <c r="E24" s="182"/>
      <c r="F24" s="147">
        <v>24</v>
      </c>
      <c r="G24" s="158" t="s">
        <v>580</v>
      </c>
      <c r="H24" s="159"/>
      <c r="I24" s="159"/>
      <c r="J24" s="159"/>
      <c r="K24" s="159"/>
      <c r="L24" s="159"/>
      <c r="M24" s="48"/>
      <c r="N24" s="48"/>
      <c r="O24" s="48"/>
      <c r="P24" s="48"/>
      <c r="Q24" s="48"/>
      <c r="R24" s="48"/>
      <c r="S24" s="48"/>
      <c r="T24" s="48"/>
      <c r="U24" s="48"/>
      <c r="V24" s="48"/>
    </row>
    <row r="25" spans="1:22" x14ac:dyDescent="0.25">
      <c r="A25" s="48"/>
      <c r="B25" s="47"/>
      <c r="C25" s="93"/>
      <c r="D25" s="47"/>
      <c r="E25" s="47"/>
      <c r="F25" s="94"/>
      <c r="G25" s="47"/>
      <c r="H25" s="196"/>
      <c r="I25" s="196"/>
      <c r="J25" s="196"/>
      <c r="K25" s="196"/>
      <c r="L25" s="196"/>
      <c r="M25" s="48"/>
      <c r="N25" s="48"/>
      <c r="O25" s="48"/>
      <c r="P25" s="48"/>
      <c r="Q25" s="48"/>
      <c r="R25" s="48"/>
      <c r="S25" s="48"/>
      <c r="T25" s="48"/>
      <c r="U25" s="48"/>
      <c r="V25" s="48"/>
    </row>
    <row r="26" spans="1:22" x14ac:dyDescent="0.25">
      <c r="A26" s="48"/>
      <c r="B26" s="99" t="s">
        <v>609</v>
      </c>
      <c r="C26" s="93"/>
      <c r="D26" s="47"/>
      <c r="E26" s="47"/>
      <c r="F26" s="94"/>
      <c r="G26" s="49"/>
      <c r="H26" s="49"/>
      <c r="I26" s="49"/>
      <c r="J26" s="95"/>
      <c r="K26" s="47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8"/>
    </row>
    <row r="27" spans="1:22" x14ac:dyDescent="0.25">
      <c r="A27" s="48"/>
      <c r="D27" s="97"/>
      <c r="E27" s="47"/>
      <c r="F27" s="47"/>
      <c r="G27" s="49"/>
      <c r="H27" s="47"/>
      <c r="I27" s="47"/>
      <c r="J27" s="95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</row>
    <row r="28" spans="1:22" x14ac:dyDescent="0.25">
      <c r="A28" s="48"/>
      <c r="B28" s="157" t="s">
        <v>610</v>
      </c>
      <c r="D28" s="97"/>
      <c r="E28" s="47"/>
      <c r="F28" s="47"/>
      <c r="G28" s="49"/>
      <c r="H28" s="47"/>
      <c r="I28" s="47"/>
      <c r="J28" s="95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</row>
    <row r="29" spans="1:22" x14ac:dyDescent="0.25">
      <c r="A29" s="48"/>
      <c r="B29" s="48"/>
      <c r="D29" s="97"/>
      <c r="E29" s="47"/>
      <c r="F29" s="47"/>
      <c r="G29" s="49"/>
      <c r="H29" s="47"/>
      <c r="I29" s="47"/>
      <c r="J29" s="95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1:22" x14ac:dyDescent="0.25">
      <c r="A30" s="48"/>
      <c r="B30" s="48"/>
      <c r="D30" s="97"/>
      <c r="E30" s="47"/>
      <c r="F30" s="47"/>
      <c r="G30" s="49"/>
      <c r="H30" s="47"/>
      <c r="I30" s="47"/>
      <c r="J30" s="95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</row>
    <row r="31" spans="1:22" x14ac:dyDescent="0.25">
      <c r="A31" s="48"/>
      <c r="B31" s="48"/>
      <c r="D31" s="97"/>
      <c r="E31" s="47"/>
      <c r="F31" s="47"/>
      <c r="G31" s="49"/>
      <c r="H31" s="47"/>
      <c r="I31" s="47"/>
      <c r="J31" s="95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2" x14ac:dyDescent="0.25">
      <c r="A32" s="48"/>
      <c r="B32" s="48"/>
      <c r="D32" s="97"/>
      <c r="E32" s="47"/>
      <c r="F32" s="47"/>
      <c r="G32" s="49"/>
      <c r="H32" s="47"/>
      <c r="I32" s="47"/>
      <c r="J32" s="95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2" x14ac:dyDescent="0.25">
      <c r="A33" s="48"/>
      <c r="B33" s="48"/>
      <c r="D33" s="98"/>
      <c r="E33" s="47"/>
      <c r="F33" s="47"/>
      <c r="G33" s="47"/>
      <c r="H33" s="47"/>
      <c r="I33" s="47"/>
      <c r="J33" s="95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</row>
    <row r="34" spans="1:22" x14ac:dyDescent="0.25">
      <c r="A34" s="48"/>
      <c r="B34" s="48"/>
      <c r="D34" s="98"/>
      <c r="E34" s="47"/>
      <c r="F34" s="47"/>
      <c r="G34" s="47"/>
      <c r="H34" s="47"/>
      <c r="I34" s="47"/>
      <c r="J34" s="95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2" x14ac:dyDescent="0.25">
      <c r="A35" s="48"/>
      <c r="B35" s="48"/>
      <c r="D35" s="98"/>
      <c r="E35" s="47"/>
      <c r="F35" s="47"/>
      <c r="G35" s="47"/>
      <c r="H35" s="95"/>
      <c r="I35" s="47"/>
      <c r="J35" s="95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</row>
    <row r="36" spans="1:22" x14ac:dyDescent="0.25">
      <c r="A36" s="48"/>
      <c r="B36" s="48"/>
      <c r="D36" s="97"/>
      <c r="E36" s="47"/>
      <c r="F36" s="47"/>
      <c r="G36" s="47"/>
      <c r="H36" s="47"/>
      <c r="I36" s="47"/>
      <c r="J36" s="95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</row>
    <row r="37" spans="1:22" x14ac:dyDescent="0.25">
      <c r="A37" s="48"/>
      <c r="B37" s="48"/>
      <c r="D37" s="97"/>
      <c r="E37" s="47"/>
      <c r="F37" s="47"/>
      <c r="G37" s="47"/>
      <c r="H37" s="47"/>
      <c r="I37" s="47"/>
      <c r="J37" s="95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1:22" x14ac:dyDescent="0.25">
      <c r="A38" s="48"/>
      <c r="B38" s="48"/>
      <c r="D38" s="48"/>
      <c r="E38" s="48"/>
      <c r="F38" s="47"/>
      <c r="G38" s="48"/>
      <c r="H38" s="48"/>
      <c r="I38" s="48"/>
      <c r="J38" s="95"/>
      <c r="K38" s="48"/>
      <c r="L38" s="48"/>
      <c r="M38" s="48"/>
      <c r="N38" s="48"/>
    </row>
  </sheetData>
  <sheetProtection password="F35B" sheet="1" objects="1" scenarios="1"/>
  <mergeCells count="33">
    <mergeCell ref="H25:J25"/>
    <mergeCell ref="K25:L25"/>
    <mergeCell ref="D6:E6"/>
    <mergeCell ref="K18:L18"/>
    <mergeCell ref="G22:L22"/>
    <mergeCell ref="D16:E18"/>
    <mergeCell ref="G8:L8"/>
    <mergeCell ref="G10:L10"/>
    <mergeCell ref="G12:L12"/>
    <mergeCell ref="H17:J17"/>
    <mergeCell ref="G16:L16"/>
    <mergeCell ref="F16:F18"/>
    <mergeCell ref="B22:B24"/>
    <mergeCell ref="D2:E2"/>
    <mergeCell ref="K17:L17"/>
    <mergeCell ref="H18:J18"/>
    <mergeCell ref="D8:E8"/>
    <mergeCell ref="D10:E10"/>
    <mergeCell ref="D12:E12"/>
    <mergeCell ref="D20:E20"/>
    <mergeCell ref="D22:E22"/>
    <mergeCell ref="D24:E24"/>
    <mergeCell ref="D14:E14"/>
    <mergeCell ref="B10:B14"/>
    <mergeCell ref="G20:L20"/>
    <mergeCell ref="B16:B20"/>
    <mergeCell ref="G4:L4"/>
    <mergeCell ref="B4:B8"/>
    <mergeCell ref="G24:L24"/>
    <mergeCell ref="G14:L14"/>
    <mergeCell ref="D4:E4"/>
    <mergeCell ref="G6:L6"/>
    <mergeCell ref="G2:L2"/>
  </mergeCells>
  <dataValidations count="2">
    <dataValidation type="list" showInputMessage="1" showErrorMessage="1" sqref="C4">
      <formula1>#REF!</formula1>
    </dataValidation>
    <dataValidation type="list" allowBlank="1" showInputMessage="1" showErrorMessage="1" sqref="K18:L19">
      <formula1>#REF!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showErrorMessage="1" error="Please select a NGS platform">
          <x14:formula1>
            <xm:f>Sheet2!$A$3:$A$4</xm:f>
          </x14:formula1>
          <xm:sqref>F8:F9</xm:sqref>
        </x14:dataValidation>
        <x14:dataValidation type="list" showInputMessage="1" showErrorMessage="1" error="Please select a thermocycler">
          <x14:formula1>
            <xm:f>QuantiMIZE!$A$3:$A$35</xm:f>
          </x14:formula1>
          <xm:sqref>F10:F11</xm:sqref>
        </x14:dataValidation>
        <x14:dataValidation type="list" showInputMessage="1" showErrorMessage="1" error="Please select format of real-time PCR run">
          <x14:formula1>
            <xm:f>Sheet2!$E$3:$E$4</xm:f>
          </x14:formula1>
          <xm:sqref>F12:F13</xm:sqref>
        </x14:dataValidation>
        <x14:dataValidation type="list" showInputMessage="1" showErrorMessage="1" error="Please specify whether QC is required or not">
          <x14:formula1>
            <xm:f>Sheet2!$N$7:$N$8</xm:f>
          </x14:formula1>
          <xm:sqref>F14:F15</xm:sqref>
        </x14:dataValidation>
        <x14:dataValidation type="list" showInputMessage="1" showErrorMessage="1" error="Select a sample size for your cataloged panel">
          <x14:formula1>
            <xm:f>Sheet2!$I$3:$I$5</xm:f>
          </x14:formula1>
          <xm:sqref>F20:F21</xm:sqref>
        </x14:dataValidation>
        <x14:dataValidation type="list" showInputMessage="1" showErrorMessage="1" error="Please select a panel type">
          <x14:formula1>
            <xm:f>Panels!$A$4:$A$20</xm:f>
          </x14:formula1>
          <xm:sqref>F16</xm:sqref>
        </x14:dataValidation>
        <x14:dataValidation type="list" allowBlank="1" showInputMessage="1" showErrorMessage="1">
          <x14:formula1>
            <xm:f>Sheet2!$N$15:$N$16</xm:f>
          </x14:formula1>
          <xm:sqref>F5</xm:sqref>
        </x14:dataValidation>
        <x14:dataValidation type="list" showInputMessage="1" showErrorMessage="1" error="Select the appropriate Multiplexing level">
          <x14:formula1>
            <xm:f>Sheet2!$O$13:$O$14</xm:f>
          </x14:formula1>
          <xm:sqref>F23</xm:sqref>
        </x14:dataValidation>
        <x14:dataValidation type="list" showInputMessage="1" showErrorMessage="1" error="Select the appropriate Multiplexing level">
          <x14:formula1>
            <xm:f>Sheet2!$O$5:$O$11</xm:f>
          </x14:formula1>
          <xm:sqref>F22</xm:sqref>
        </x14:dataValidation>
        <x14:dataValidation type="list" allowBlank="1" showInputMessage="1" showErrorMessage="1">
          <x14:formula1>
            <xm:f>Sheet2!$N$14:$N$16</xm:f>
          </x14:formula1>
          <xm:sqref>F4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6"/>
  <sheetViews>
    <sheetView workbookViewId="0">
      <selection activeCell="D9" sqref="D9:D13"/>
    </sheetView>
  </sheetViews>
  <sheetFormatPr defaultRowHeight="15" x14ac:dyDescent="0.25"/>
  <cols>
    <col min="1" max="1" width="11.7109375" customWidth="1"/>
    <col min="2" max="2" width="14" customWidth="1"/>
    <col min="3" max="3" width="33.5703125" customWidth="1"/>
    <col min="4" max="4" width="29.5703125" customWidth="1"/>
    <col min="5" max="5" width="91.7109375" customWidth="1"/>
  </cols>
  <sheetData>
    <row r="1" spans="1:5" ht="19.5" thickBot="1" x14ac:dyDescent="0.3">
      <c r="A1" s="263" t="s">
        <v>301</v>
      </c>
      <c r="B1" s="263"/>
      <c r="C1" s="263"/>
      <c r="D1" s="263"/>
      <c r="E1" s="263"/>
    </row>
    <row r="2" spans="1:5" ht="36" thickTop="1" thickBot="1" x14ac:dyDescent="0.3">
      <c r="A2" s="247"/>
      <c r="B2" s="250" t="s">
        <v>265</v>
      </c>
      <c r="C2" s="251"/>
      <c r="D2" s="12" t="s">
        <v>583</v>
      </c>
      <c r="E2" s="19" t="s">
        <v>254</v>
      </c>
    </row>
    <row r="3" spans="1:5" ht="35.25" thickBot="1" x14ac:dyDescent="0.3">
      <c r="A3" s="248"/>
      <c r="B3" s="264" t="s">
        <v>303</v>
      </c>
      <c r="C3" s="265"/>
      <c r="D3" s="100"/>
      <c r="E3" s="101" t="s">
        <v>584</v>
      </c>
    </row>
    <row r="4" spans="1:5" ht="16.5" customHeight="1" thickBot="1" x14ac:dyDescent="0.3">
      <c r="A4" s="248"/>
      <c r="B4" s="252" t="s">
        <v>585</v>
      </c>
      <c r="C4" s="253"/>
      <c r="D4" s="13" t="s">
        <v>281</v>
      </c>
      <c r="E4" s="16" t="s">
        <v>586</v>
      </c>
    </row>
    <row r="5" spans="1:5" ht="52.5" thickBot="1" x14ac:dyDescent="0.3">
      <c r="A5" s="249"/>
      <c r="B5" s="254" t="s">
        <v>260</v>
      </c>
      <c r="C5" s="255"/>
      <c r="D5" s="14" t="s">
        <v>587</v>
      </c>
      <c r="E5" s="16" t="s">
        <v>284</v>
      </c>
    </row>
    <row r="6" spans="1:5" ht="17.25" customHeight="1" x14ac:dyDescent="0.25">
      <c r="A6" s="256" t="s">
        <v>253</v>
      </c>
      <c r="B6" s="243" t="s">
        <v>251</v>
      </c>
      <c r="C6" s="244"/>
      <c r="D6" s="266" t="s">
        <v>282</v>
      </c>
      <c r="E6" s="16" t="s">
        <v>285</v>
      </c>
    </row>
    <row r="7" spans="1:5" ht="17.25" x14ac:dyDescent="0.25">
      <c r="A7" s="257"/>
      <c r="B7" s="259" t="s">
        <v>252</v>
      </c>
      <c r="C7" s="260"/>
      <c r="D7" s="266"/>
      <c r="E7" s="16" t="s">
        <v>286</v>
      </c>
    </row>
    <row r="8" spans="1:5" ht="18" customHeight="1" thickBot="1" x14ac:dyDescent="0.3">
      <c r="A8" s="258"/>
      <c r="B8" s="261" t="s">
        <v>256</v>
      </c>
      <c r="C8" s="262"/>
      <c r="D8" s="14" t="s">
        <v>283</v>
      </c>
      <c r="E8" s="16" t="s">
        <v>287</v>
      </c>
    </row>
    <row r="9" spans="1:5" ht="30" x14ac:dyDescent="0.25">
      <c r="A9" s="256" t="s">
        <v>87</v>
      </c>
      <c r="B9" s="268" t="s">
        <v>258</v>
      </c>
      <c r="C9" s="268"/>
      <c r="D9" s="267" t="s">
        <v>288</v>
      </c>
      <c r="E9" s="17" t="s">
        <v>601</v>
      </c>
    </row>
    <row r="10" spans="1:5" ht="30" x14ac:dyDescent="0.25">
      <c r="A10" s="257"/>
      <c r="B10" s="268"/>
      <c r="C10" s="268"/>
      <c r="D10" s="267"/>
      <c r="E10" s="153" t="s">
        <v>602</v>
      </c>
    </row>
    <row r="11" spans="1:5" ht="30" x14ac:dyDescent="0.25">
      <c r="A11" s="257"/>
      <c r="B11" s="268"/>
      <c r="C11" s="268"/>
      <c r="D11" s="267"/>
      <c r="E11" s="17" t="s">
        <v>603</v>
      </c>
    </row>
    <row r="12" spans="1:5" ht="15" customHeight="1" x14ac:dyDescent="0.25">
      <c r="A12" s="257"/>
      <c r="B12" s="269"/>
      <c r="C12" s="269"/>
      <c r="D12" s="267"/>
      <c r="E12" s="16" t="s">
        <v>272</v>
      </c>
    </row>
    <row r="13" spans="1:5" ht="18" thickBot="1" x14ac:dyDescent="0.3">
      <c r="A13" s="258"/>
      <c r="B13" s="270" t="s">
        <v>598</v>
      </c>
      <c r="C13" s="271"/>
      <c r="D13" s="267"/>
      <c r="E13" s="16" t="s">
        <v>290</v>
      </c>
    </row>
    <row r="14" spans="1:5" ht="34.5" x14ac:dyDescent="0.25">
      <c r="A14" s="241" t="s">
        <v>207</v>
      </c>
      <c r="B14" s="243" t="s">
        <v>209</v>
      </c>
      <c r="C14" s="244"/>
      <c r="D14" s="26" t="s">
        <v>588</v>
      </c>
      <c r="E14" s="16" t="s">
        <v>589</v>
      </c>
    </row>
    <row r="15" spans="1:5" ht="18" thickBot="1" x14ac:dyDescent="0.3">
      <c r="A15" s="242"/>
      <c r="B15" s="245" t="s">
        <v>210</v>
      </c>
      <c r="C15" s="246"/>
      <c r="D15" s="15"/>
      <c r="E15" s="18" t="s">
        <v>289</v>
      </c>
    </row>
    <row r="16" spans="1:5" ht="15.75" thickTop="1" x14ac:dyDescent="0.25"/>
  </sheetData>
  <sheetProtection password="F35B" sheet="1" objects="1" scenarios="1"/>
  <mergeCells count="18">
    <mergeCell ref="A1:E1"/>
    <mergeCell ref="B3:C3"/>
    <mergeCell ref="D6:D7"/>
    <mergeCell ref="D9:D13"/>
    <mergeCell ref="A9:A13"/>
    <mergeCell ref="B9:C12"/>
    <mergeCell ref="B13:C13"/>
    <mergeCell ref="A14:A15"/>
    <mergeCell ref="B14:C14"/>
    <mergeCell ref="B15:C15"/>
    <mergeCell ref="A2:A5"/>
    <mergeCell ref="B2:C2"/>
    <mergeCell ref="B4:C4"/>
    <mergeCell ref="B5:C5"/>
    <mergeCell ref="A6:A8"/>
    <mergeCell ref="B6:C6"/>
    <mergeCell ref="B7:C7"/>
    <mergeCell ref="B8:C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21"/>
  <sheetViews>
    <sheetView workbookViewId="0">
      <selection activeCell="C13" sqref="C13"/>
    </sheetView>
  </sheetViews>
  <sheetFormatPr defaultRowHeight="15" x14ac:dyDescent="0.25"/>
  <cols>
    <col min="1" max="1" width="14.28515625" customWidth="1"/>
    <col min="2" max="2" width="15.140625" bestFit="1" customWidth="1"/>
    <col min="3" max="3" width="146.42578125" customWidth="1"/>
  </cols>
  <sheetData>
    <row r="1" spans="1:3" ht="15.75" thickTop="1" x14ac:dyDescent="0.25">
      <c r="A1" s="10" t="s">
        <v>90</v>
      </c>
      <c r="B1" s="22"/>
      <c r="C1" s="11"/>
    </row>
    <row r="2" spans="1:3" x14ac:dyDescent="0.25">
      <c r="A2" s="9" t="s">
        <v>208</v>
      </c>
      <c r="B2" s="23"/>
      <c r="C2" s="20" t="s">
        <v>590</v>
      </c>
    </row>
    <row r="3" spans="1:3" x14ac:dyDescent="0.25">
      <c r="A3" s="279" t="s">
        <v>86</v>
      </c>
      <c r="B3" s="278" t="s">
        <v>268</v>
      </c>
      <c r="C3" s="21" t="s">
        <v>91</v>
      </c>
    </row>
    <row r="4" spans="1:3" x14ac:dyDescent="0.25">
      <c r="A4" s="279"/>
      <c r="B4" s="278"/>
      <c r="C4" s="21" t="s">
        <v>261</v>
      </c>
    </row>
    <row r="5" spans="1:3" x14ac:dyDescent="0.25">
      <c r="A5" s="279"/>
      <c r="B5" s="278"/>
      <c r="C5" s="21" t="s">
        <v>269</v>
      </c>
    </row>
    <row r="6" spans="1:3" x14ac:dyDescent="0.25">
      <c r="A6" s="279"/>
      <c r="B6" s="278"/>
      <c r="C6" s="21" t="s">
        <v>292</v>
      </c>
    </row>
    <row r="7" spans="1:3" x14ac:dyDescent="0.25">
      <c r="A7" s="279"/>
      <c r="B7" s="278"/>
      <c r="C7" s="21" t="s">
        <v>271</v>
      </c>
    </row>
    <row r="8" spans="1:3" ht="15" customHeight="1" x14ac:dyDescent="0.25">
      <c r="A8" s="280" t="s">
        <v>87</v>
      </c>
      <c r="B8" s="282" t="s">
        <v>266</v>
      </c>
      <c r="C8" s="20" t="s">
        <v>92</v>
      </c>
    </row>
    <row r="9" spans="1:3" ht="15" customHeight="1" x14ac:dyDescent="0.25">
      <c r="A9" s="281"/>
      <c r="B9" s="283"/>
      <c r="C9" s="20" t="s">
        <v>272</v>
      </c>
    </row>
    <row r="10" spans="1:3" ht="15" customHeight="1" x14ac:dyDescent="0.25">
      <c r="A10" s="284" t="s">
        <v>88</v>
      </c>
      <c r="B10" s="274" t="s">
        <v>275</v>
      </c>
      <c r="C10" s="21" t="s">
        <v>93</v>
      </c>
    </row>
    <row r="11" spans="1:3" x14ac:dyDescent="0.25">
      <c r="A11" s="285"/>
      <c r="B11" s="287"/>
      <c r="C11" s="21" t="s">
        <v>273</v>
      </c>
    </row>
    <row r="12" spans="1:3" x14ac:dyDescent="0.25">
      <c r="A12" s="285"/>
      <c r="B12" s="287"/>
      <c r="C12" s="21" t="s">
        <v>274</v>
      </c>
    </row>
    <row r="13" spans="1:3" x14ac:dyDescent="0.25">
      <c r="A13" s="286"/>
      <c r="B13" s="288"/>
      <c r="C13" s="20" t="s">
        <v>591</v>
      </c>
    </row>
    <row r="14" spans="1:3" ht="15" customHeight="1" x14ac:dyDescent="0.25">
      <c r="A14" s="276" t="s">
        <v>89</v>
      </c>
      <c r="B14" s="277" t="s">
        <v>267</v>
      </c>
      <c r="C14" s="20" t="s">
        <v>94</v>
      </c>
    </row>
    <row r="15" spans="1:3" ht="15" customHeight="1" x14ac:dyDescent="0.25">
      <c r="A15" s="276"/>
      <c r="B15" s="277"/>
      <c r="C15" s="20" t="s">
        <v>262</v>
      </c>
    </row>
    <row r="16" spans="1:3" x14ac:dyDescent="0.25">
      <c r="A16" s="276"/>
      <c r="B16" s="277"/>
      <c r="C16" s="20" t="s">
        <v>270</v>
      </c>
    </row>
    <row r="17" spans="1:3" x14ac:dyDescent="0.25">
      <c r="A17" s="276"/>
      <c r="B17" s="277"/>
      <c r="C17" s="20" t="s">
        <v>276</v>
      </c>
    </row>
    <row r="18" spans="1:3" x14ac:dyDescent="0.25">
      <c r="A18" s="276"/>
      <c r="B18" s="277"/>
      <c r="C18" s="20" t="s">
        <v>292</v>
      </c>
    </row>
    <row r="19" spans="1:3" x14ac:dyDescent="0.25">
      <c r="A19" s="272" t="s">
        <v>207</v>
      </c>
      <c r="B19" s="274"/>
      <c r="C19" s="102" t="s">
        <v>293</v>
      </c>
    </row>
    <row r="20" spans="1:3" ht="15.75" thickBot="1" x14ac:dyDescent="0.3">
      <c r="A20" s="273"/>
      <c r="B20" s="275"/>
      <c r="C20" s="103" t="s">
        <v>294</v>
      </c>
    </row>
    <row r="21" spans="1:3" ht="15.75" thickTop="1" x14ac:dyDescent="0.25"/>
  </sheetData>
  <sheetProtection sheet="1" objects="1" scenarios="1"/>
  <mergeCells count="10">
    <mergeCell ref="A19:A20"/>
    <mergeCell ref="B19:B20"/>
    <mergeCell ref="A14:A18"/>
    <mergeCell ref="B14:B18"/>
    <mergeCell ref="B3:B7"/>
    <mergeCell ref="A3:A7"/>
    <mergeCell ref="A8:A9"/>
    <mergeCell ref="B8:B9"/>
    <mergeCell ref="A10:A13"/>
    <mergeCell ref="B10:B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30"/>
  <sheetViews>
    <sheetView topLeftCell="E1" workbookViewId="0">
      <selection activeCell="N14" sqref="N14"/>
    </sheetView>
  </sheetViews>
  <sheetFormatPr defaultRowHeight="15" x14ac:dyDescent="0.25"/>
  <cols>
    <col min="1" max="1" width="12.85546875" bestFit="1" customWidth="1"/>
    <col min="2" max="2" width="35.7109375" bestFit="1" customWidth="1"/>
    <col min="3" max="4" width="35.7109375" customWidth="1"/>
    <col min="6" max="6" width="26.7109375" bestFit="1" customWidth="1"/>
    <col min="7" max="8" width="26.7109375" customWidth="1"/>
  </cols>
  <sheetData>
    <row r="1" spans="1:15" x14ac:dyDescent="0.25">
      <c r="B1" s="2"/>
      <c r="C1" s="2"/>
      <c r="D1" s="2"/>
    </row>
    <row r="2" spans="1:15" x14ac:dyDescent="0.25">
      <c r="A2" t="s">
        <v>0</v>
      </c>
      <c r="E2" t="s">
        <v>37</v>
      </c>
      <c r="F2" t="s">
        <v>40</v>
      </c>
      <c r="G2" t="s">
        <v>99</v>
      </c>
      <c r="H2" t="s">
        <v>100</v>
      </c>
      <c r="I2" t="s">
        <v>41</v>
      </c>
    </row>
    <row r="3" spans="1:15" x14ac:dyDescent="0.25">
      <c r="A3" t="s">
        <v>1</v>
      </c>
      <c r="E3" t="s">
        <v>38</v>
      </c>
      <c r="F3" t="s">
        <v>42</v>
      </c>
      <c r="G3" t="s">
        <v>56</v>
      </c>
      <c r="H3" t="s">
        <v>57</v>
      </c>
      <c r="I3" t="s">
        <v>513</v>
      </c>
      <c r="J3" t="s">
        <v>56</v>
      </c>
    </row>
    <row r="4" spans="1:15" x14ac:dyDescent="0.25">
      <c r="A4" t="s">
        <v>2</v>
      </c>
      <c r="E4" t="s">
        <v>39</v>
      </c>
      <c r="F4" t="s">
        <v>43</v>
      </c>
      <c r="G4" t="s">
        <v>58</v>
      </c>
      <c r="H4" t="s">
        <v>59</v>
      </c>
      <c r="I4">
        <v>12</v>
      </c>
      <c r="J4" t="s">
        <v>57</v>
      </c>
    </row>
    <row r="5" spans="1:15" x14ac:dyDescent="0.25">
      <c r="F5" t="s">
        <v>44</v>
      </c>
      <c r="G5" t="s">
        <v>60</v>
      </c>
      <c r="H5" t="s">
        <v>61</v>
      </c>
      <c r="I5">
        <v>96</v>
      </c>
      <c r="J5" t="s">
        <v>58</v>
      </c>
      <c r="O5" t="s">
        <v>518</v>
      </c>
    </row>
    <row r="6" spans="1:15" x14ac:dyDescent="0.25">
      <c r="F6" t="s">
        <v>45</v>
      </c>
      <c r="G6" t="s">
        <v>62</v>
      </c>
      <c r="H6" t="s">
        <v>63</v>
      </c>
      <c r="J6" t="s">
        <v>59</v>
      </c>
      <c r="O6" t="s">
        <v>521</v>
      </c>
    </row>
    <row r="7" spans="1:15" x14ac:dyDescent="0.25">
      <c r="F7" t="s">
        <v>46</v>
      </c>
      <c r="G7" t="s">
        <v>64</v>
      </c>
      <c r="H7" t="s">
        <v>65</v>
      </c>
      <c r="J7" t="s">
        <v>60</v>
      </c>
      <c r="N7" t="s">
        <v>97</v>
      </c>
      <c r="O7" t="s">
        <v>534</v>
      </c>
    </row>
    <row r="8" spans="1:15" x14ac:dyDescent="0.25">
      <c r="F8" t="s">
        <v>47</v>
      </c>
      <c r="G8" t="s">
        <v>66</v>
      </c>
      <c r="H8" t="s">
        <v>67</v>
      </c>
      <c r="J8" t="s">
        <v>61</v>
      </c>
      <c r="N8" t="s">
        <v>98</v>
      </c>
      <c r="O8" t="s">
        <v>522</v>
      </c>
    </row>
    <row r="9" spans="1:15" x14ac:dyDescent="0.25">
      <c r="F9" t="s">
        <v>48</v>
      </c>
      <c r="G9" t="s">
        <v>68</v>
      </c>
      <c r="H9" t="s">
        <v>69</v>
      </c>
      <c r="J9" t="s">
        <v>62</v>
      </c>
      <c r="O9" t="s">
        <v>519</v>
      </c>
    </row>
    <row r="10" spans="1:15" x14ac:dyDescent="0.25">
      <c r="F10" t="s">
        <v>49</v>
      </c>
      <c r="G10" t="s">
        <v>70</v>
      </c>
      <c r="H10" t="s">
        <v>71</v>
      </c>
      <c r="J10" t="s">
        <v>63</v>
      </c>
      <c r="O10" t="s">
        <v>520</v>
      </c>
    </row>
    <row r="11" spans="1:15" x14ac:dyDescent="0.25">
      <c r="F11" t="s">
        <v>50</v>
      </c>
      <c r="G11" t="s">
        <v>72</v>
      </c>
      <c r="H11" t="s">
        <v>73</v>
      </c>
      <c r="J11" t="s">
        <v>64</v>
      </c>
      <c r="O11" t="s">
        <v>523</v>
      </c>
    </row>
    <row r="12" spans="1:15" x14ac:dyDescent="0.25">
      <c r="F12" t="s">
        <v>51</v>
      </c>
      <c r="G12" t="s">
        <v>74</v>
      </c>
      <c r="H12" t="s">
        <v>75</v>
      </c>
      <c r="J12" t="s">
        <v>65</v>
      </c>
    </row>
    <row r="13" spans="1:15" x14ac:dyDescent="0.25">
      <c r="F13" t="s">
        <v>52</v>
      </c>
      <c r="G13" t="s">
        <v>76</v>
      </c>
      <c r="H13" t="s">
        <v>77</v>
      </c>
      <c r="J13" t="s">
        <v>66</v>
      </c>
    </row>
    <row r="14" spans="1:15" x14ac:dyDescent="0.25">
      <c r="F14" t="s">
        <v>53</v>
      </c>
      <c r="G14" t="s">
        <v>82</v>
      </c>
      <c r="H14" t="s">
        <v>83</v>
      </c>
      <c r="J14" t="s">
        <v>67</v>
      </c>
      <c r="N14" t="s">
        <v>608</v>
      </c>
    </row>
    <row r="15" spans="1:15" x14ac:dyDescent="0.25">
      <c r="F15" t="s">
        <v>54</v>
      </c>
      <c r="G15" t="s">
        <v>78</v>
      </c>
      <c r="H15" t="s">
        <v>79</v>
      </c>
      <c r="J15" t="s">
        <v>68</v>
      </c>
      <c r="N15" t="s">
        <v>514</v>
      </c>
    </row>
    <row r="16" spans="1:15" x14ac:dyDescent="0.25">
      <c r="F16" t="s">
        <v>55</v>
      </c>
      <c r="G16" t="s">
        <v>80</v>
      </c>
      <c r="H16" t="s">
        <v>81</v>
      </c>
      <c r="J16" t="s">
        <v>69</v>
      </c>
      <c r="N16" t="s">
        <v>515</v>
      </c>
    </row>
    <row r="17" spans="6:10" x14ac:dyDescent="0.25">
      <c r="F17" t="s">
        <v>84</v>
      </c>
      <c r="J17" t="s">
        <v>70</v>
      </c>
    </row>
    <row r="18" spans="6:10" x14ac:dyDescent="0.25">
      <c r="F18" t="s">
        <v>85</v>
      </c>
      <c r="J18" t="s">
        <v>71</v>
      </c>
    </row>
    <row r="19" spans="6:10" x14ac:dyDescent="0.25">
      <c r="J19" t="s">
        <v>72</v>
      </c>
    </row>
    <row r="20" spans="6:10" x14ac:dyDescent="0.25">
      <c r="J20" t="s">
        <v>73</v>
      </c>
    </row>
    <row r="21" spans="6:10" x14ac:dyDescent="0.25">
      <c r="J21" t="s">
        <v>74</v>
      </c>
    </row>
    <row r="22" spans="6:10" x14ac:dyDescent="0.25">
      <c r="J22" t="s">
        <v>75</v>
      </c>
    </row>
    <row r="23" spans="6:10" x14ac:dyDescent="0.25">
      <c r="J23" t="s">
        <v>76</v>
      </c>
    </row>
    <row r="24" spans="6:10" x14ac:dyDescent="0.25">
      <c r="J24" t="s">
        <v>77</v>
      </c>
    </row>
    <row r="25" spans="6:10" x14ac:dyDescent="0.25">
      <c r="J25" t="s">
        <v>82</v>
      </c>
    </row>
    <row r="26" spans="6:10" x14ac:dyDescent="0.25">
      <c r="J26" t="s">
        <v>83</v>
      </c>
    </row>
    <row r="27" spans="6:10" x14ac:dyDescent="0.25">
      <c r="J27" t="s">
        <v>78</v>
      </c>
    </row>
    <row r="28" spans="6:10" x14ac:dyDescent="0.25">
      <c r="J28" t="s">
        <v>79</v>
      </c>
    </row>
    <row r="29" spans="6:10" x14ac:dyDescent="0.25">
      <c r="J29" t="s">
        <v>80</v>
      </c>
    </row>
    <row r="30" spans="6:10" x14ac:dyDescent="0.25">
      <c r="J30" t="s">
        <v>81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5"/>
  <sheetViews>
    <sheetView topLeftCell="A10" workbookViewId="0">
      <selection activeCell="A30" sqref="A30"/>
    </sheetView>
  </sheetViews>
  <sheetFormatPr defaultRowHeight="15" x14ac:dyDescent="0.25"/>
  <cols>
    <col min="1" max="1" width="35.7109375" bestFit="1" customWidth="1"/>
    <col min="3" max="3" width="14.7109375" bestFit="1" customWidth="1"/>
    <col min="5" max="5" width="9.7109375" bestFit="1" customWidth="1"/>
  </cols>
  <sheetData>
    <row r="1" spans="1:11" x14ac:dyDescent="0.25">
      <c r="B1" s="234" t="s">
        <v>106</v>
      </c>
      <c r="C1" s="234"/>
      <c r="D1" s="234"/>
      <c r="E1" s="234"/>
      <c r="F1" s="234"/>
      <c r="G1" s="234" t="s">
        <v>107</v>
      </c>
      <c r="H1" s="234"/>
      <c r="I1" s="234"/>
      <c r="J1" s="234"/>
      <c r="K1" s="234"/>
    </row>
    <row r="2" spans="1:11" x14ac:dyDescent="0.25">
      <c r="A2" t="s">
        <v>3</v>
      </c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</row>
    <row r="3" spans="1:11" x14ac:dyDescent="0.25">
      <c r="A3" t="s">
        <v>4</v>
      </c>
      <c r="B3">
        <v>180642</v>
      </c>
      <c r="C3" t="s">
        <v>95</v>
      </c>
      <c r="D3" t="s">
        <v>118</v>
      </c>
      <c r="E3">
        <v>30</v>
      </c>
      <c r="G3">
        <v>180654</v>
      </c>
      <c r="H3" t="s">
        <v>96</v>
      </c>
      <c r="I3" t="s">
        <v>119</v>
      </c>
      <c r="J3">
        <v>60</v>
      </c>
    </row>
    <row r="4" spans="1:11" x14ac:dyDescent="0.25">
      <c r="A4" t="s">
        <v>5</v>
      </c>
      <c r="B4">
        <v>180642</v>
      </c>
      <c r="C4" t="s">
        <v>95</v>
      </c>
      <c r="D4" t="s">
        <v>118</v>
      </c>
      <c r="E4">
        <v>30</v>
      </c>
      <c r="G4">
        <v>180654</v>
      </c>
      <c r="H4" t="s">
        <v>96</v>
      </c>
      <c r="I4" t="s">
        <v>119</v>
      </c>
      <c r="J4">
        <v>60</v>
      </c>
    </row>
    <row r="5" spans="1:11" x14ac:dyDescent="0.25">
      <c r="A5" t="s">
        <v>6</v>
      </c>
      <c r="B5">
        <v>180642</v>
      </c>
      <c r="C5" t="s">
        <v>95</v>
      </c>
      <c r="D5" t="s">
        <v>118</v>
      </c>
      <c r="E5">
        <v>30</v>
      </c>
      <c r="G5">
        <v>180654</v>
      </c>
      <c r="H5" t="s">
        <v>96</v>
      </c>
      <c r="I5" t="s">
        <v>119</v>
      </c>
      <c r="J5">
        <v>60</v>
      </c>
    </row>
    <row r="6" spans="1:11" x14ac:dyDescent="0.25">
      <c r="A6" t="s">
        <v>7</v>
      </c>
      <c r="B6">
        <v>180642</v>
      </c>
      <c r="C6" t="s">
        <v>95</v>
      </c>
      <c r="D6" t="s">
        <v>118</v>
      </c>
      <c r="E6">
        <v>30</v>
      </c>
      <c r="G6">
        <v>180654</v>
      </c>
      <c r="H6" t="s">
        <v>96</v>
      </c>
      <c r="I6" t="s">
        <v>119</v>
      </c>
      <c r="J6">
        <v>60</v>
      </c>
    </row>
    <row r="7" spans="1:11" x14ac:dyDescent="0.25">
      <c r="A7" t="s">
        <v>8</v>
      </c>
      <c r="B7">
        <v>180642</v>
      </c>
      <c r="C7" t="s">
        <v>95</v>
      </c>
      <c r="D7" t="s">
        <v>118</v>
      </c>
      <c r="E7">
        <v>30</v>
      </c>
      <c r="G7">
        <v>180654</v>
      </c>
      <c r="H7" t="s">
        <v>96</v>
      </c>
      <c r="I7" t="s">
        <v>119</v>
      </c>
      <c r="J7">
        <v>60</v>
      </c>
    </row>
    <row r="8" spans="1:11" x14ac:dyDescent="0.25">
      <c r="A8" t="s">
        <v>9</v>
      </c>
      <c r="B8">
        <v>180642</v>
      </c>
      <c r="C8" t="s">
        <v>95</v>
      </c>
      <c r="D8" t="s">
        <v>118</v>
      </c>
      <c r="E8">
        <v>30</v>
      </c>
      <c r="G8">
        <v>180654</v>
      </c>
      <c r="H8" t="s">
        <v>96</v>
      </c>
      <c r="I8" t="s">
        <v>119</v>
      </c>
      <c r="J8">
        <v>60</v>
      </c>
    </row>
    <row r="9" spans="1:11" x14ac:dyDescent="0.25">
      <c r="A9" t="s">
        <v>10</v>
      </c>
      <c r="B9">
        <v>180642</v>
      </c>
      <c r="C9" t="s">
        <v>95</v>
      </c>
      <c r="D9" t="s">
        <v>118</v>
      </c>
      <c r="E9">
        <v>30</v>
      </c>
      <c r="G9">
        <v>180654</v>
      </c>
      <c r="H9" t="s">
        <v>96</v>
      </c>
      <c r="I9" t="s">
        <v>119</v>
      </c>
      <c r="J9">
        <v>60</v>
      </c>
    </row>
    <row r="10" spans="1:11" x14ac:dyDescent="0.25">
      <c r="A10" t="s">
        <v>11</v>
      </c>
      <c r="B10">
        <v>180642</v>
      </c>
      <c r="C10" t="s">
        <v>108</v>
      </c>
      <c r="D10" t="s">
        <v>118</v>
      </c>
      <c r="E10">
        <v>30</v>
      </c>
      <c r="G10">
        <v>180654</v>
      </c>
      <c r="H10" t="s">
        <v>96</v>
      </c>
      <c r="I10" t="s">
        <v>119</v>
      </c>
      <c r="J10">
        <v>60</v>
      </c>
    </row>
    <row r="11" spans="1:11" x14ac:dyDescent="0.25">
      <c r="A11" t="s">
        <v>12</v>
      </c>
      <c r="B11">
        <v>180642</v>
      </c>
      <c r="C11" t="s">
        <v>108</v>
      </c>
      <c r="D11" t="s">
        <v>118</v>
      </c>
      <c r="E11">
        <v>30</v>
      </c>
      <c r="G11">
        <v>180654</v>
      </c>
      <c r="H11" t="s">
        <v>96</v>
      </c>
      <c r="I11" t="s">
        <v>119</v>
      </c>
      <c r="J11">
        <v>60</v>
      </c>
    </row>
    <row r="12" spans="1:11" x14ac:dyDescent="0.25">
      <c r="A12" t="s">
        <v>13</v>
      </c>
      <c r="B12">
        <v>180642</v>
      </c>
      <c r="C12" t="s">
        <v>108</v>
      </c>
      <c r="D12" t="s">
        <v>118</v>
      </c>
      <c r="E12">
        <v>30</v>
      </c>
      <c r="G12">
        <v>180654</v>
      </c>
      <c r="H12" t="s">
        <v>96</v>
      </c>
      <c r="I12" t="s">
        <v>119</v>
      </c>
      <c r="J12">
        <v>60</v>
      </c>
    </row>
    <row r="13" spans="1:11" x14ac:dyDescent="0.25">
      <c r="A13" t="s">
        <v>14</v>
      </c>
      <c r="B13">
        <v>180642</v>
      </c>
      <c r="C13" t="s">
        <v>108</v>
      </c>
      <c r="D13" t="s">
        <v>118</v>
      </c>
      <c r="E13">
        <v>30</v>
      </c>
      <c r="G13">
        <v>180654</v>
      </c>
      <c r="H13" t="s">
        <v>96</v>
      </c>
      <c r="I13" t="s">
        <v>119</v>
      </c>
      <c r="J13">
        <v>60</v>
      </c>
    </row>
    <row r="14" spans="1:11" x14ac:dyDescent="0.25">
      <c r="A14" t="s">
        <v>15</v>
      </c>
      <c r="B14">
        <v>180642</v>
      </c>
      <c r="C14" s="24" t="s">
        <v>604</v>
      </c>
      <c r="D14" t="s">
        <v>118</v>
      </c>
      <c r="E14">
        <v>63</v>
      </c>
      <c r="G14">
        <v>180654</v>
      </c>
      <c r="H14" t="s">
        <v>96</v>
      </c>
      <c r="I14" t="s">
        <v>119</v>
      </c>
      <c r="J14">
        <v>60</v>
      </c>
    </row>
    <row r="15" spans="1:11" x14ac:dyDescent="0.25">
      <c r="A15" t="s">
        <v>16</v>
      </c>
      <c r="B15">
        <v>180642</v>
      </c>
      <c r="C15" t="s">
        <v>604</v>
      </c>
      <c r="D15" t="s">
        <v>118</v>
      </c>
      <c r="E15">
        <v>63</v>
      </c>
      <c r="G15">
        <v>180654</v>
      </c>
      <c r="H15" t="s">
        <v>96</v>
      </c>
      <c r="I15" t="s">
        <v>119</v>
      </c>
      <c r="J15">
        <v>60</v>
      </c>
    </row>
    <row r="16" spans="1:11" x14ac:dyDescent="0.25">
      <c r="A16" t="s">
        <v>17</v>
      </c>
      <c r="B16">
        <v>180642</v>
      </c>
      <c r="C16" s="24" t="s">
        <v>605</v>
      </c>
      <c r="D16" t="s">
        <v>118</v>
      </c>
      <c r="E16">
        <v>63</v>
      </c>
      <c r="G16">
        <v>180654</v>
      </c>
      <c r="H16" t="s">
        <v>120</v>
      </c>
      <c r="I16" t="s">
        <v>119</v>
      </c>
      <c r="J16">
        <v>60</v>
      </c>
    </row>
    <row r="17" spans="1:10" x14ac:dyDescent="0.25">
      <c r="A17" t="s">
        <v>18</v>
      </c>
      <c r="B17">
        <v>180642</v>
      </c>
      <c r="C17" t="s">
        <v>111</v>
      </c>
      <c r="D17" t="s">
        <v>118</v>
      </c>
      <c r="E17">
        <v>30</v>
      </c>
      <c r="G17">
        <v>180654</v>
      </c>
      <c r="H17" t="s">
        <v>120</v>
      </c>
      <c r="I17" t="s">
        <v>119</v>
      </c>
      <c r="J17">
        <v>60</v>
      </c>
    </row>
    <row r="18" spans="1:10" x14ac:dyDescent="0.25">
      <c r="A18" t="s">
        <v>19</v>
      </c>
      <c r="B18">
        <v>180642</v>
      </c>
      <c r="C18" t="s">
        <v>111</v>
      </c>
      <c r="D18" t="s">
        <v>118</v>
      </c>
      <c r="E18">
        <v>30</v>
      </c>
      <c r="G18">
        <v>180654</v>
      </c>
      <c r="H18" t="s">
        <v>120</v>
      </c>
      <c r="I18" t="s">
        <v>119</v>
      </c>
      <c r="J18">
        <v>60</v>
      </c>
    </row>
    <row r="19" spans="1:10" x14ac:dyDescent="0.25">
      <c r="A19" t="s">
        <v>20</v>
      </c>
      <c r="B19">
        <v>180642</v>
      </c>
      <c r="C19" t="s">
        <v>112</v>
      </c>
      <c r="D19" t="s">
        <v>118</v>
      </c>
      <c r="E19">
        <v>30</v>
      </c>
      <c r="G19">
        <v>180654</v>
      </c>
      <c r="H19" t="s">
        <v>120</v>
      </c>
      <c r="I19" t="s">
        <v>119</v>
      </c>
      <c r="J19">
        <v>60</v>
      </c>
    </row>
    <row r="20" spans="1:10" x14ac:dyDescent="0.25">
      <c r="A20" t="s">
        <v>21</v>
      </c>
      <c r="B20">
        <v>180642</v>
      </c>
      <c r="C20" t="s">
        <v>113</v>
      </c>
      <c r="D20" t="s">
        <v>118</v>
      </c>
      <c r="E20">
        <v>30</v>
      </c>
      <c r="G20">
        <v>180654</v>
      </c>
      <c r="H20" t="s">
        <v>121</v>
      </c>
      <c r="I20" t="s">
        <v>119</v>
      </c>
      <c r="J20">
        <v>60</v>
      </c>
    </row>
    <row r="21" spans="1:10" x14ac:dyDescent="0.25">
      <c r="A21" t="s">
        <v>22</v>
      </c>
      <c r="B21">
        <v>180642</v>
      </c>
      <c r="C21" t="s">
        <v>113</v>
      </c>
      <c r="D21" t="s">
        <v>118</v>
      </c>
      <c r="E21">
        <v>30</v>
      </c>
      <c r="G21">
        <v>180654</v>
      </c>
      <c r="H21" t="s">
        <v>121</v>
      </c>
      <c r="I21" t="s">
        <v>119</v>
      </c>
      <c r="J21">
        <v>60</v>
      </c>
    </row>
    <row r="22" spans="1:10" x14ac:dyDescent="0.25">
      <c r="A22" t="s">
        <v>23</v>
      </c>
      <c r="B22">
        <v>180642</v>
      </c>
      <c r="C22" t="s">
        <v>113</v>
      </c>
      <c r="D22" t="s">
        <v>118</v>
      </c>
      <c r="E22">
        <v>30</v>
      </c>
      <c r="G22">
        <v>180654</v>
      </c>
      <c r="H22" t="s">
        <v>121</v>
      </c>
      <c r="I22" t="s">
        <v>119</v>
      </c>
      <c r="J22">
        <v>60</v>
      </c>
    </row>
    <row r="23" spans="1:10" x14ac:dyDescent="0.25">
      <c r="A23" t="s">
        <v>24</v>
      </c>
      <c r="B23">
        <v>180642</v>
      </c>
      <c r="C23" t="s">
        <v>113</v>
      </c>
      <c r="D23" t="s">
        <v>118</v>
      </c>
      <c r="E23">
        <v>30</v>
      </c>
      <c r="G23">
        <v>180654</v>
      </c>
      <c r="H23" t="s">
        <v>121</v>
      </c>
      <c r="I23" t="s">
        <v>119</v>
      </c>
      <c r="J23">
        <v>60</v>
      </c>
    </row>
    <row r="24" spans="1:10" x14ac:dyDescent="0.25">
      <c r="A24" t="s">
        <v>25</v>
      </c>
      <c r="B24">
        <v>180642</v>
      </c>
      <c r="C24" t="s">
        <v>95</v>
      </c>
      <c r="D24" t="s">
        <v>118</v>
      </c>
      <c r="E24">
        <v>30</v>
      </c>
      <c r="G24">
        <v>180654</v>
      </c>
      <c r="H24" t="s">
        <v>96</v>
      </c>
      <c r="I24" t="s">
        <v>119</v>
      </c>
      <c r="J24">
        <v>60</v>
      </c>
    </row>
    <row r="25" spans="1:10" x14ac:dyDescent="0.25">
      <c r="A25" t="s">
        <v>26</v>
      </c>
      <c r="B25">
        <v>180642</v>
      </c>
      <c r="C25" t="s">
        <v>95</v>
      </c>
      <c r="D25" t="s">
        <v>118</v>
      </c>
      <c r="E25">
        <v>30</v>
      </c>
      <c r="G25">
        <v>180654</v>
      </c>
      <c r="H25" t="s">
        <v>96</v>
      </c>
      <c r="I25" t="s">
        <v>119</v>
      </c>
      <c r="J25">
        <v>60</v>
      </c>
    </row>
    <row r="26" spans="1:10" x14ac:dyDescent="0.25">
      <c r="A26" t="s">
        <v>27</v>
      </c>
      <c r="B26">
        <v>180642</v>
      </c>
      <c r="C26" t="s">
        <v>95</v>
      </c>
      <c r="D26" t="s">
        <v>118</v>
      </c>
      <c r="E26">
        <v>30</v>
      </c>
      <c r="G26">
        <v>180654</v>
      </c>
      <c r="H26" t="s">
        <v>96</v>
      </c>
      <c r="I26" t="s">
        <v>119</v>
      </c>
      <c r="J26">
        <v>60</v>
      </c>
    </row>
    <row r="27" spans="1:10" x14ac:dyDescent="0.25">
      <c r="A27" t="s">
        <v>28</v>
      </c>
      <c r="B27">
        <v>180642</v>
      </c>
      <c r="C27" t="s">
        <v>95</v>
      </c>
      <c r="D27" t="s">
        <v>118</v>
      </c>
      <c r="E27">
        <v>30</v>
      </c>
      <c r="G27">
        <v>180654</v>
      </c>
      <c r="H27" t="s">
        <v>96</v>
      </c>
      <c r="I27" t="s">
        <v>119</v>
      </c>
      <c r="J27">
        <v>60</v>
      </c>
    </row>
    <row r="28" spans="1:10" x14ac:dyDescent="0.25">
      <c r="A28" t="s">
        <v>611</v>
      </c>
      <c r="B28">
        <v>180642</v>
      </c>
      <c r="C28" t="s">
        <v>114</v>
      </c>
      <c r="D28" t="s">
        <v>118</v>
      </c>
      <c r="E28">
        <v>30</v>
      </c>
      <c r="G28">
        <v>180654</v>
      </c>
      <c r="H28" t="s">
        <v>122</v>
      </c>
      <c r="I28" t="s">
        <v>119</v>
      </c>
      <c r="J28">
        <v>60</v>
      </c>
    </row>
    <row r="29" spans="1:10" x14ac:dyDescent="0.25">
      <c r="A29" t="s">
        <v>612</v>
      </c>
      <c r="B29">
        <v>180642</v>
      </c>
      <c r="C29" t="s">
        <v>114</v>
      </c>
      <c r="D29" t="s">
        <v>118</v>
      </c>
      <c r="E29">
        <v>30</v>
      </c>
      <c r="G29">
        <v>180654</v>
      </c>
      <c r="H29" t="s">
        <v>122</v>
      </c>
      <c r="I29" t="s">
        <v>119</v>
      </c>
      <c r="J29">
        <v>60</v>
      </c>
    </row>
    <row r="30" spans="1:10" x14ac:dyDescent="0.25">
      <c r="A30" t="s">
        <v>31</v>
      </c>
      <c r="B30">
        <v>180642</v>
      </c>
      <c r="C30" t="s">
        <v>606</v>
      </c>
      <c r="D30" t="s">
        <v>118</v>
      </c>
      <c r="E30">
        <v>63</v>
      </c>
      <c r="G30">
        <v>180654</v>
      </c>
      <c r="H30" t="s">
        <v>120</v>
      </c>
      <c r="I30" t="s">
        <v>119</v>
      </c>
      <c r="J30">
        <v>60</v>
      </c>
    </row>
    <row r="31" spans="1:10" x14ac:dyDescent="0.25">
      <c r="A31" t="s">
        <v>32</v>
      </c>
      <c r="B31">
        <v>180642</v>
      </c>
      <c r="C31" t="s">
        <v>116</v>
      </c>
      <c r="D31" t="s">
        <v>118</v>
      </c>
      <c r="E31">
        <v>30</v>
      </c>
      <c r="G31">
        <v>180654</v>
      </c>
      <c r="H31" t="s">
        <v>120</v>
      </c>
      <c r="I31" t="s">
        <v>119</v>
      </c>
      <c r="J31">
        <v>60</v>
      </c>
    </row>
    <row r="32" spans="1:10" x14ac:dyDescent="0.25">
      <c r="A32" t="s">
        <v>33</v>
      </c>
      <c r="B32">
        <v>180642</v>
      </c>
      <c r="C32" t="s">
        <v>95</v>
      </c>
      <c r="D32" t="s">
        <v>118</v>
      </c>
      <c r="E32">
        <v>30</v>
      </c>
      <c r="G32">
        <v>180654</v>
      </c>
      <c r="H32" t="s">
        <v>96</v>
      </c>
      <c r="I32" t="s">
        <v>119</v>
      </c>
      <c r="J32">
        <v>60</v>
      </c>
    </row>
    <row r="33" spans="1:10" x14ac:dyDescent="0.25">
      <c r="A33" t="s">
        <v>34</v>
      </c>
      <c r="B33">
        <v>180642</v>
      </c>
      <c r="C33" t="s">
        <v>95</v>
      </c>
      <c r="D33" t="s">
        <v>118</v>
      </c>
      <c r="E33">
        <v>30</v>
      </c>
      <c r="G33">
        <v>180654</v>
      </c>
      <c r="H33" t="s">
        <v>96</v>
      </c>
      <c r="I33" t="s">
        <v>119</v>
      </c>
      <c r="J33">
        <v>60</v>
      </c>
    </row>
    <row r="34" spans="1:10" x14ac:dyDescent="0.25">
      <c r="A34" t="s">
        <v>35</v>
      </c>
      <c r="B34">
        <v>180642</v>
      </c>
      <c r="C34" t="s">
        <v>117</v>
      </c>
      <c r="D34" t="s">
        <v>118</v>
      </c>
      <c r="E34">
        <v>30</v>
      </c>
      <c r="G34">
        <v>180654</v>
      </c>
      <c r="H34" t="s">
        <v>96</v>
      </c>
      <c r="I34" t="s">
        <v>119</v>
      </c>
      <c r="J34">
        <v>60</v>
      </c>
    </row>
    <row r="35" spans="1:10" x14ac:dyDescent="0.25">
      <c r="A35" t="s">
        <v>36</v>
      </c>
      <c r="B35">
        <v>180642</v>
      </c>
      <c r="C35" t="s">
        <v>95</v>
      </c>
      <c r="D35" t="s">
        <v>118</v>
      </c>
      <c r="E35">
        <v>30</v>
      </c>
      <c r="G35">
        <v>180654</v>
      </c>
      <c r="H35" t="s">
        <v>96</v>
      </c>
      <c r="I35" t="s">
        <v>119</v>
      </c>
      <c r="J35">
        <v>60</v>
      </c>
    </row>
  </sheetData>
  <mergeCells count="2">
    <mergeCell ref="B1:F1"/>
    <mergeCell ref="G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6"/>
  <sheetViews>
    <sheetView workbookViewId="0">
      <selection activeCell="G3" sqref="G3:G8"/>
    </sheetView>
  </sheetViews>
  <sheetFormatPr defaultRowHeight="15" x14ac:dyDescent="0.25"/>
  <cols>
    <col min="2" max="2" width="22.85546875" bestFit="1" customWidth="1"/>
  </cols>
  <sheetData>
    <row r="1" spans="1:7" x14ac:dyDescent="0.25">
      <c r="C1" s="234" t="s">
        <v>99</v>
      </c>
      <c r="D1" s="234"/>
      <c r="E1" s="234"/>
      <c r="F1" s="234"/>
      <c r="G1" s="234"/>
    </row>
    <row r="2" spans="1:7" x14ac:dyDescent="0.25">
      <c r="B2" t="s">
        <v>157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</row>
    <row r="3" spans="1:7" x14ac:dyDescent="0.25">
      <c r="A3" t="s">
        <v>1</v>
      </c>
      <c r="B3" t="s">
        <v>158</v>
      </c>
      <c r="C3">
        <v>180514</v>
      </c>
      <c r="E3" t="s">
        <v>158</v>
      </c>
      <c r="F3">
        <v>50</v>
      </c>
    </row>
    <row r="4" spans="1:7" x14ac:dyDescent="0.25">
      <c r="A4" t="s">
        <v>1</v>
      </c>
      <c r="B4" t="s">
        <v>159</v>
      </c>
      <c r="C4">
        <v>28104</v>
      </c>
      <c r="E4" t="s">
        <v>159</v>
      </c>
      <c r="F4">
        <v>50</v>
      </c>
    </row>
    <row r="5" spans="1:7" x14ac:dyDescent="0.25">
      <c r="A5" t="s">
        <v>2</v>
      </c>
      <c r="B5" t="s">
        <v>158</v>
      </c>
      <c r="C5">
        <v>180514</v>
      </c>
      <c r="E5" t="s">
        <v>158</v>
      </c>
      <c r="F5">
        <v>50</v>
      </c>
    </row>
    <row r="6" spans="1:7" x14ac:dyDescent="0.25">
      <c r="A6" t="s">
        <v>2</v>
      </c>
      <c r="B6" t="s">
        <v>159</v>
      </c>
      <c r="C6">
        <v>28104</v>
      </c>
      <c r="E6" t="s">
        <v>159</v>
      </c>
      <c r="F6">
        <v>50</v>
      </c>
    </row>
  </sheetData>
  <mergeCells count="1">
    <mergeCell ref="C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4"/>
  <sheetViews>
    <sheetView workbookViewId="0">
      <selection activeCell="F3" sqref="F3"/>
    </sheetView>
  </sheetViews>
  <sheetFormatPr defaultRowHeight="15" x14ac:dyDescent="0.25"/>
  <cols>
    <col min="1" max="1" width="20.140625" bestFit="1" customWidth="1"/>
    <col min="5" max="5" width="10.85546875" bestFit="1" customWidth="1"/>
  </cols>
  <sheetData>
    <row r="1" spans="1:7" x14ac:dyDescent="0.25">
      <c r="B1" t="s">
        <v>150</v>
      </c>
      <c r="C1" t="s">
        <v>151</v>
      </c>
      <c r="F1" t="s">
        <v>104</v>
      </c>
      <c r="G1" t="s">
        <v>156</v>
      </c>
    </row>
    <row r="2" spans="1:7" x14ac:dyDescent="0.25">
      <c r="A2" t="s">
        <v>152</v>
      </c>
      <c r="B2">
        <v>248</v>
      </c>
      <c r="C2">
        <v>282</v>
      </c>
      <c r="E2" t="s">
        <v>1</v>
      </c>
      <c r="F2" s="8">
        <f>5000/B2</f>
        <v>20.161290322580644</v>
      </c>
      <c r="G2">
        <v>300</v>
      </c>
    </row>
    <row r="3" spans="1:7" x14ac:dyDescent="0.25">
      <c r="E3" t="s">
        <v>2</v>
      </c>
      <c r="F3">
        <f>5000/C2</f>
        <v>17.730496453900709</v>
      </c>
      <c r="G3">
        <v>300</v>
      </c>
    </row>
    <row r="4" spans="1:7" x14ac:dyDescent="0.25">
      <c r="A4" t="s">
        <v>153</v>
      </c>
      <c r="B4">
        <f>5000/B2</f>
        <v>20.161290322580644</v>
      </c>
      <c r="C4">
        <f>5000/C2</f>
        <v>17.730496453900709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T9"/>
  <sheetViews>
    <sheetView workbookViewId="0">
      <selection activeCell="F3" sqref="F3"/>
    </sheetView>
  </sheetViews>
  <sheetFormatPr defaultRowHeight="15" x14ac:dyDescent="0.25"/>
  <cols>
    <col min="1" max="1" width="18.7109375" bestFit="1" customWidth="1"/>
    <col min="2" max="3" width="18.7109375" customWidth="1"/>
    <col min="6" max="6" width="25.7109375" bestFit="1" customWidth="1"/>
    <col min="16" max="16" width="18.7109375" customWidth="1"/>
    <col min="17" max="17" width="5.85546875" bestFit="1" customWidth="1"/>
  </cols>
  <sheetData>
    <row r="1" spans="1:20" x14ac:dyDescent="0.25">
      <c r="B1" s="2" t="s">
        <v>211</v>
      </c>
      <c r="C1" s="1"/>
      <c r="D1" t="s">
        <v>150</v>
      </c>
      <c r="P1" s="2"/>
      <c r="Q1" s="2"/>
    </row>
    <row r="2" spans="1:20" x14ac:dyDescent="0.25">
      <c r="A2" t="s">
        <v>212</v>
      </c>
      <c r="B2" t="s">
        <v>1</v>
      </c>
      <c r="C2" t="s">
        <v>225</v>
      </c>
      <c r="D2" t="s">
        <v>226</v>
      </c>
      <c r="F2" t="s">
        <v>228</v>
      </c>
      <c r="G2" t="s">
        <v>229</v>
      </c>
      <c r="H2" t="s">
        <v>233</v>
      </c>
      <c r="I2" t="s">
        <v>234</v>
      </c>
      <c r="J2" t="s">
        <v>230</v>
      </c>
      <c r="K2" t="s">
        <v>233</v>
      </c>
      <c r="L2" t="s">
        <v>234</v>
      </c>
      <c r="M2" t="s">
        <v>216</v>
      </c>
      <c r="N2" t="s">
        <v>239</v>
      </c>
      <c r="O2" t="s">
        <v>240</v>
      </c>
      <c r="P2" t="s">
        <v>2</v>
      </c>
      <c r="Q2" t="s">
        <v>242</v>
      </c>
      <c r="R2" t="s">
        <v>151</v>
      </c>
      <c r="S2" t="s">
        <v>215</v>
      </c>
    </row>
    <row r="3" spans="1:20" x14ac:dyDescent="0.25">
      <c r="A3" t="s">
        <v>1</v>
      </c>
      <c r="B3" t="s">
        <v>213</v>
      </c>
      <c r="C3" t="s">
        <v>217</v>
      </c>
      <c r="D3" t="s">
        <v>217</v>
      </c>
      <c r="E3" t="s">
        <v>218</v>
      </c>
      <c r="F3" t="s">
        <v>219</v>
      </c>
      <c r="G3" t="s">
        <v>231</v>
      </c>
      <c r="H3" t="s">
        <v>221</v>
      </c>
      <c r="I3" t="s">
        <v>221</v>
      </c>
      <c r="J3" t="s">
        <v>231</v>
      </c>
      <c r="K3" t="s">
        <v>221</v>
      </c>
      <c r="L3" t="s">
        <v>221</v>
      </c>
      <c r="M3" t="s">
        <v>237</v>
      </c>
      <c r="N3" t="s">
        <v>241</v>
      </c>
      <c r="O3" t="s">
        <v>227</v>
      </c>
      <c r="P3" t="s">
        <v>151</v>
      </c>
      <c r="Q3">
        <v>314</v>
      </c>
      <c r="R3" t="s">
        <v>226</v>
      </c>
      <c r="S3" t="s">
        <v>243</v>
      </c>
      <c r="T3">
        <v>200</v>
      </c>
    </row>
    <row r="4" spans="1:20" x14ac:dyDescent="0.25">
      <c r="A4" t="s">
        <v>244</v>
      </c>
      <c r="B4" t="s">
        <v>214</v>
      </c>
      <c r="C4" t="s">
        <v>218</v>
      </c>
      <c r="D4" t="s">
        <v>245</v>
      </c>
      <c r="F4" t="s">
        <v>220</v>
      </c>
      <c r="G4" t="s">
        <v>232</v>
      </c>
      <c r="H4" t="s">
        <v>235</v>
      </c>
      <c r="I4" t="s">
        <v>235</v>
      </c>
      <c r="J4" t="s">
        <v>232</v>
      </c>
      <c r="K4" t="s">
        <v>222</v>
      </c>
      <c r="L4" t="s">
        <v>222</v>
      </c>
      <c r="M4" t="s">
        <v>238</v>
      </c>
      <c r="N4" t="s">
        <v>227</v>
      </c>
      <c r="O4" t="s">
        <v>223</v>
      </c>
      <c r="P4" t="s">
        <v>215</v>
      </c>
      <c r="Q4">
        <v>316</v>
      </c>
      <c r="R4">
        <v>200</v>
      </c>
    </row>
    <row r="5" spans="1:20" x14ac:dyDescent="0.25">
      <c r="B5" t="s">
        <v>216</v>
      </c>
      <c r="D5" t="s">
        <v>246</v>
      </c>
      <c r="H5" t="s">
        <v>236</v>
      </c>
      <c r="I5" t="s">
        <v>236</v>
      </c>
      <c r="K5" t="s">
        <v>223</v>
      </c>
      <c r="L5" t="s">
        <v>223</v>
      </c>
      <c r="N5" t="s">
        <v>223</v>
      </c>
      <c r="Q5">
        <v>318</v>
      </c>
      <c r="R5">
        <v>400</v>
      </c>
    </row>
    <row r="6" spans="1:20" x14ac:dyDescent="0.25">
      <c r="D6" t="s">
        <v>249</v>
      </c>
      <c r="H6" t="s">
        <v>223</v>
      </c>
      <c r="I6" t="s">
        <v>223</v>
      </c>
      <c r="K6" t="s">
        <v>224</v>
      </c>
      <c r="L6" t="s">
        <v>224</v>
      </c>
    </row>
    <row r="7" spans="1:20" x14ac:dyDescent="0.25">
      <c r="D7" t="s">
        <v>247</v>
      </c>
    </row>
    <row r="8" spans="1:20" x14ac:dyDescent="0.25">
      <c r="D8" t="s">
        <v>248</v>
      </c>
    </row>
    <row r="9" spans="1:20" x14ac:dyDescent="0.25">
      <c r="D9" t="s">
        <v>250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5"/>
  <sheetViews>
    <sheetView topLeftCell="A19" workbookViewId="0">
      <selection activeCell="M5" sqref="M5"/>
    </sheetView>
  </sheetViews>
  <sheetFormatPr defaultRowHeight="15" x14ac:dyDescent="0.25"/>
  <cols>
    <col min="2" max="2" width="16.7109375" customWidth="1"/>
    <col min="4" max="6" width="14.85546875" bestFit="1" customWidth="1"/>
  </cols>
  <sheetData>
    <row r="1" spans="1:13" x14ac:dyDescent="0.25">
      <c r="A1" s="27"/>
      <c r="B1" s="27"/>
      <c r="C1" s="27"/>
      <c r="D1" s="27" t="s">
        <v>564</v>
      </c>
      <c r="E1" s="27"/>
      <c r="F1" s="27"/>
    </row>
    <row r="2" spans="1:13" x14ac:dyDescent="0.25">
      <c r="A2" s="27" t="s">
        <v>561</v>
      </c>
      <c r="B2" s="27" t="s">
        <v>562</v>
      </c>
      <c r="C2" s="27" t="s">
        <v>563</v>
      </c>
      <c r="D2" s="27" t="s">
        <v>565</v>
      </c>
      <c r="E2" s="27" t="s">
        <v>566</v>
      </c>
      <c r="F2" s="27" t="s">
        <v>567</v>
      </c>
    </row>
    <row r="3" spans="1:13" ht="15" customHeight="1" x14ac:dyDescent="0.25">
      <c r="A3" s="289" t="s">
        <v>1</v>
      </c>
      <c r="B3" s="291" t="s">
        <v>551</v>
      </c>
      <c r="C3" s="41" t="s">
        <v>221</v>
      </c>
      <c r="D3" s="42">
        <v>540000000</v>
      </c>
      <c r="E3" s="42">
        <v>610000000</v>
      </c>
      <c r="F3" s="45">
        <f>(D3+E3)/2</f>
        <v>575000000</v>
      </c>
    </row>
    <row r="4" spans="1:13" x14ac:dyDescent="0.25">
      <c r="A4" s="289"/>
      <c r="B4" s="291"/>
      <c r="C4" s="41" t="s">
        <v>222</v>
      </c>
      <c r="D4" s="42">
        <v>750000000</v>
      </c>
      <c r="E4" s="42">
        <v>850000000</v>
      </c>
      <c r="F4" s="45">
        <f t="shared" ref="F4:F33" si="0">(D4+E4)/2</f>
        <v>800000000</v>
      </c>
    </row>
    <row r="5" spans="1:13" x14ac:dyDescent="0.25">
      <c r="A5" s="289"/>
      <c r="B5" s="291"/>
      <c r="C5" s="41" t="s">
        <v>223</v>
      </c>
      <c r="D5" s="42">
        <v>4500000000</v>
      </c>
      <c r="E5" s="42">
        <v>5100000000</v>
      </c>
      <c r="F5" s="45">
        <f t="shared" si="0"/>
        <v>4800000000</v>
      </c>
      <c r="I5" t="s">
        <v>1</v>
      </c>
      <c r="K5" s="41" t="s">
        <v>221</v>
      </c>
      <c r="M5">
        <v>200</v>
      </c>
    </row>
    <row r="6" spans="1:13" x14ac:dyDescent="0.25">
      <c r="A6" s="289"/>
      <c r="B6" s="291"/>
      <c r="C6" s="41" t="s">
        <v>224</v>
      </c>
      <c r="D6" s="42">
        <v>7500000000</v>
      </c>
      <c r="E6" s="42">
        <v>8500000000</v>
      </c>
      <c r="F6" s="45">
        <f t="shared" si="0"/>
        <v>8000000000</v>
      </c>
      <c r="I6" t="s">
        <v>2</v>
      </c>
      <c r="K6" s="41" t="s">
        <v>222</v>
      </c>
      <c r="M6">
        <v>1500</v>
      </c>
    </row>
    <row r="7" spans="1:13" ht="15" customHeight="1" x14ac:dyDescent="0.25">
      <c r="A7" s="289"/>
      <c r="B7" s="291" t="s">
        <v>552</v>
      </c>
      <c r="C7" s="41" t="s">
        <v>227</v>
      </c>
      <c r="D7" s="42">
        <v>3300000000</v>
      </c>
      <c r="E7" s="42">
        <v>3800000000</v>
      </c>
      <c r="F7" s="45">
        <f t="shared" si="0"/>
        <v>3550000000</v>
      </c>
      <c r="K7" s="41" t="s">
        <v>223</v>
      </c>
    </row>
    <row r="8" spans="1:13" x14ac:dyDescent="0.25">
      <c r="A8" s="289"/>
      <c r="B8" s="291"/>
      <c r="C8" s="41" t="s">
        <v>553</v>
      </c>
      <c r="D8" s="42">
        <v>13200000000</v>
      </c>
      <c r="E8" s="42">
        <v>15000000000</v>
      </c>
      <c r="F8" s="45">
        <f t="shared" si="0"/>
        <v>14100000000</v>
      </c>
      <c r="K8" s="41" t="s">
        <v>224</v>
      </c>
    </row>
    <row r="9" spans="1:13" ht="15" customHeight="1" x14ac:dyDescent="0.25">
      <c r="A9" s="289"/>
      <c r="B9" s="290" t="s">
        <v>554</v>
      </c>
      <c r="C9" s="41" t="s">
        <v>241</v>
      </c>
      <c r="D9" s="42">
        <v>25000000000</v>
      </c>
      <c r="E9" s="42">
        <v>30000000000</v>
      </c>
      <c r="F9" s="45">
        <f t="shared" si="0"/>
        <v>27500000000</v>
      </c>
      <c r="K9" s="41" t="s">
        <v>227</v>
      </c>
    </row>
    <row r="10" spans="1:13" x14ac:dyDescent="0.25">
      <c r="A10" s="289"/>
      <c r="B10" s="290"/>
      <c r="C10" s="41" t="s">
        <v>227</v>
      </c>
      <c r="D10" s="42">
        <v>50000000000</v>
      </c>
      <c r="E10" s="42">
        <v>60000000000</v>
      </c>
      <c r="F10" s="45">
        <f t="shared" si="0"/>
        <v>55000000000</v>
      </c>
      <c r="K10" s="41" t="s">
        <v>553</v>
      </c>
    </row>
    <row r="11" spans="1:13" x14ac:dyDescent="0.25">
      <c r="A11" s="289"/>
      <c r="B11" s="290"/>
      <c r="C11" s="41" t="s">
        <v>223</v>
      </c>
      <c r="D11" s="42">
        <v>100000000000</v>
      </c>
      <c r="E11" s="42">
        <v>120000000000</v>
      </c>
      <c r="F11" s="45">
        <f t="shared" si="0"/>
        <v>110000000000</v>
      </c>
      <c r="K11" s="41" t="s">
        <v>241</v>
      </c>
    </row>
    <row r="12" spans="1:13" ht="15" customHeight="1" x14ac:dyDescent="0.25">
      <c r="A12" s="289"/>
      <c r="B12" s="290" t="s">
        <v>555</v>
      </c>
      <c r="C12" s="41" t="s">
        <v>227</v>
      </c>
      <c r="D12" s="42">
        <v>16000000000</v>
      </c>
      <c r="E12" s="42">
        <v>19000000000</v>
      </c>
      <c r="F12" s="45">
        <f t="shared" si="0"/>
        <v>17500000000</v>
      </c>
      <c r="K12" s="41" t="s">
        <v>235</v>
      </c>
    </row>
    <row r="13" spans="1:13" x14ac:dyDescent="0.25">
      <c r="A13" s="289"/>
      <c r="B13" s="290"/>
      <c r="C13" s="41" t="s">
        <v>223</v>
      </c>
      <c r="D13" s="42">
        <v>32000000000</v>
      </c>
      <c r="E13" s="42">
        <v>39000000000</v>
      </c>
      <c r="F13" s="45">
        <f t="shared" si="0"/>
        <v>35500000000</v>
      </c>
      <c r="K13" s="41" t="s">
        <v>236</v>
      </c>
    </row>
    <row r="14" spans="1:13" ht="15" customHeight="1" x14ac:dyDescent="0.25">
      <c r="A14" s="289"/>
      <c r="B14" s="290" t="s">
        <v>556</v>
      </c>
      <c r="C14" s="41" t="s">
        <v>221</v>
      </c>
      <c r="D14" s="42">
        <v>95000000000</v>
      </c>
      <c r="E14" s="42">
        <v>105000000000</v>
      </c>
      <c r="F14" s="45">
        <f t="shared" si="0"/>
        <v>100000000000</v>
      </c>
      <c r="K14" s="41">
        <v>200</v>
      </c>
    </row>
    <row r="15" spans="1:13" x14ac:dyDescent="0.25">
      <c r="A15" s="289"/>
      <c r="B15" s="290"/>
      <c r="C15" s="41" t="s">
        <v>235</v>
      </c>
      <c r="D15" s="42">
        <v>270000000000</v>
      </c>
      <c r="E15" s="42">
        <v>300000000000</v>
      </c>
      <c r="F15" s="45">
        <f t="shared" si="0"/>
        <v>285000000000</v>
      </c>
      <c r="K15" s="41">
        <v>400</v>
      </c>
    </row>
    <row r="16" spans="1:13" x14ac:dyDescent="0.25">
      <c r="A16" s="289"/>
      <c r="B16" s="290"/>
      <c r="C16" s="41" t="s">
        <v>236</v>
      </c>
      <c r="D16" s="42">
        <v>540000000000</v>
      </c>
      <c r="E16" s="42">
        <v>600000000000</v>
      </c>
      <c r="F16" s="45">
        <f t="shared" si="0"/>
        <v>570000000000</v>
      </c>
    </row>
    <row r="17" spans="1:6" ht="15" customHeight="1" x14ac:dyDescent="0.25">
      <c r="A17" s="289"/>
      <c r="B17" s="290" t="s">
        <v>557</v>
      </c>
      <c r="C17" s="41" t="s">
        <v>221</v>
      </c>
      <c r="D17" s="42">
        <v>47000000000</v>
      </c>
      <c r="E17" s="42">
        <v>52000000000</v>
      </c>
      <c r="F17" s="45">
        <f t="shared" si="0"/>
        <v>49500000000</v>
      </c>
    </row>
    <row r="18" spans="1:6" x14ac:dyDescent="0.25">
      <c r="A18" s="289"/>
      <c r="B18" s="290"/>
      <c r="C18" s="41" t="s">
        <v>235</v>
      </c>
      <c r="D18" s="42">
        <v>135000000000</v>
      </c>
      <c r="E18" s="42">
        <v>150000000000</v>
      </c>
      <c r="F18" s="45">
        <f t="shared" si="0"/>
        <v>142500000000</v>
      </c>
    </row>
    <row r="19" spans="1:6" x14ac:dyDescent="0.25">
      <c r="A19" s="289"/>
      <c r="B19" s="290"/>
      <c r="C19" s="41" t="s">
        <v>236</v>
      </c>
      <c r="D19" s="42">
        <v>270000000000</v>
      </c>
      <c r="E19" s="42">
        <v>300000000000</v>
      </c>
      <c r="F19" s="45">
        <f t="shared" si="0"/>
        <v>285000000000</v>
      </c>
    </row>
    <row r="20" spans="1:6" ht="15" customHeight="1" x14ac:dyDescent="0.25">
      <c r="A20" s="289"/>
      <c r="B20" s="290" t="s">
        <v>558</v>
      </c>
      <c r="C20" s="41" t="s">
        <v>221</v>
      </c>
      <c r="D20" s="42">
        <v>18000000000</v>
      </c>
      <c r="E20" s="42">
        <v>22000000000</v>
      </c>
      <c r="F20" s="45">
        <f t="shared" si="0"/>
        <v>20000000000</v>
      </c>
    </row>
    <row r="21" spans="1:6" x14ac:dyDescent="0.25">
      <c r="A21" s="289"/>
      <c r="B21" s="290"/>
      <c r="C21" s="41" t="s">
        <v>222</v>
      </c>
      <c r="D21" s="42">
        <v>50000000000</v>
      </c>
      <c r="E21" s="42">
        <v>60000000000</v>
      </c>
      <c r="F21" s="45">
        <f t="shared" si="0"/>
        <v>55000000000</v>
      </c>
    </row>
    <row r="22" spans="1:6" x14ac:dyDescent="0.25">
      <c r="A22" s="289"/>
      <c r="B22" s="290"/>
      <c r="C22" s="41" t="s">
        <v>223</v>
      </c>
      <c r="D22" s="42">
        <v>100000000000</v>
      </c>
      <c r="E22" s="42">
        <v>120000000000</v>
      </c>
      <c r="F22" s="45">
        <f t="shared" si="0"/>
        <v>110000000000</v>
      </c>
    </row>
    <row r="23" spans="1:6" x14ac:dyDescent="0.25">
      <c r="A23" s="289"/>
      <c r="B23" s="290"/>
      <c r="C23" s="41" t="s">
        <v>224</v>
      </c>
      <c r="D23" s="42">
        <v>150000000000</v>
      </c>
      <c r="E23" s="42">
        <v>180000000000</v>
      </c>
      <c r="F23" s="45">
        <f t="shared" si="0"/>
        <v>165000000000</v>
      </c>
    </row>
    <row r="24" spans="1:6" ht="15" customHeight="1" x14ac:dyDescent="0.25">
      <c r="A24" s="289"/>
      <c r="B24" s="290" t="s">
        <v>559</v>
      </c>
      <c r="C24" s="41" t="s">
        <v>221</v>
      </c>
      <c r="D24" s="42">
        <v>9000000000</v>
      </c>
      <c r="E24" s="42">
        <v>11000000000</v>
      </c>
      <c r="F24" s="45">
        <f t="shared" si="0"/>
        <v>10000000000</v>
      </c>
    </row>
    <row r="25" spans="1:6" x14ac:dyDescent="0.25">
      <c r="A25" s="289"/>
      <c r="B25" s="290"/>
      <c r="C25" s="41" t="s">
        <v>222</v>
      </c>
      <c r="D25" s="42">
        <v>25000000000</v>
      </c>
      <c r="E25" s="42">
        <v>30000000000</v>
      </c>
      <c r="F25" s="45">
        <f t="shared" si="0"/>
        <v>27500000000</v>
      </c>
    </row>
    <row r="26" spans="1:6" x14ac:dyDescent="0.25">
      <c r="A26" s="289"/>
      <c r="B26" s="290"/>
      <c r="C26" s="41" t="s">
        <v>223</v>
      </c>
      <c r="D26" s="42">
        <v>50000000000</v>
      </c>
      <c r="E26" s="42">
        <v>60000000000</v>
      </c>
      <c r="F26" s="45">
        <f t="shared" si="0"/>
        <v>55000000000</v>
      </c>
    </row>
    <row r="27" spans="1:6" x14ac:dyDescent="0.25">
      <c r="A27" s="289"/>
      <c r="B27" s="290"/>
      <c r="C27" s="41" t="s">
        <v>224</v>
      </c>
      <c r="D27" s="42">
        <v>75000000000</v>
      </c>
      <c r="E27" s="42">
        <v>90000000000</v>
      </c>
      <c r="F27" s="45">
        <f t="shared" si="0"/>
        <v>82500000000</v>
      </c>
    </row>
    <row r="28" spans="1:6" x14ac:dyDescent="0.25">
      <c r="A28" s="289" t="s">
        <v>2</v>
      </c>
      <c r="B28" s="289" t="s">
        <v>568</v>
      </c>
      <c r="C28" s="41">
        <v>200</v>
      </c>
      <c r="D28" s="42">
        <v>30000000</v>
      </c>
      <c r="E28" s="42">
        <v>50000000</v>
      </c>
      <c r="F28" s="45">
        <f t="shared" si="0"/>
        <v>40000000</v>
      </c>
    </row>
    <row r="29" spans="1:6" x14ac:dyDescent="0.25">
      <c r="A29" s="289"/>
      <c r="B29" s="289"/>
      <c r="C29" s="41">
        <v>400</v>
      </c>
      <c r="D29" s="42">
        <v>60000000</v>
      </c>
      <c r="E29" s="42">
        <v>100000000</v>
      </c>
      <c r="F29" s="45">
        <f t="shared" si="0"/>
        <v>80000000</v>
      </c>
    </row>
    <row r="30" spans="1:6" x14ac:dyDescent="0.25">
      <c r="A30" s="289"/>
      <c r="B30" s="289" t="s">
        <v>569</v>
      </c>
      <c r="C30" s="41">
        <v>200</v>
      </c>
      <c r="D30" s="42">
        <v>300000000</v>
      </c>
      <c r="E30" s="42">
        <v>600000000</v>
      </c>
      <c r="F30" s="45">
        <f t="shared" si="0"/>
        <v>450000000</v>
      </c>
    </row>
    <row r="31" spans="1:6" x14ac:dyDescent="0.25">
      <c r="A31" s="289"/>
      <c r="B31" s="289"/>
      <c r="C31" s="41">
        <v>400</v>
      </c>
      <c r="D31" s="42">
        <v>600000000</v>
      </c>
      <c r="E31" s="42">
        <v>1000000000</v>
      </c>
      <c r="F31" s="45">
        <f t="shared" si="0"/>
        <v>800000000</v>
      </c>
    </row>
    <row r="32" spans="1:6" x14ac:dyDescent="0.25">
      <c r="A32" s="289"/>
      <c r="B32" s="289" t="s">
        <v>570</v>
      </c>
      <c r="C32" s="41">
        <v>200</v>
      </c>
      <c r="D32" s="42">
        <v>600000000</v>
      </c>
      <c r="E32" s="42">
        <v>1000000000</v>
      </c>
      <c r="F32" s="45">
        <f t="shared" si="0"/>
        <v>800000000</v>
      </c>
    </row>
    <row r="33" spans="1:12" x14ac:dyDescent="0.25">
      <c r="A33" s="289"/>
      <c r="B33" s="289"/>
      <c r="C33" s="41">
        <v>400</v>
      </c>
      <c r="D33" s="42">
        <v>1200000000</v>
      </c>
      <c r="E33" s="42">
        <v>2000000000</v>
      </c>
      <c r="F33" s="45">
        <f t="shared" si="0"/>
        <v>1600000000</v>
      </c>
    </row>
    <row r="35" spans="1:12" ht="45" x14ac:dyDescent="0.25">
      <c r="L35" s="43" t="s">
        <v>551</v>
      </c>
    </row>
    <row r="36" spans="1:12" ht="45" x14ac:dyDescent="0.25">
      <c r="L36" s="43" t="s">
        <v>552</v>
      </c>
    </row>
    <row r="37" spans="1:12" ht="60" x14ac:dyDescent="0.25">
      <c r="L37" s="25" t="s">
        <v>554</v>
      </c>
    </row>
    <row r="38" spans="1:12" ht="60" x14ac:dyDescent="0.25">
      <c r="L38" s="25" t="s">
        <v>555</v>
      </c>
    </row>
    <row r="39" spans="1:12" ht="135" x14ac:dyDescent="0.25">
      <c r="L39" s="25" t="s">
        <v>556</v>
      </c>
    </row>
    <row r="40" spans="1:12" ht="135" x14ac:dyDescent="0.25">
      <c r="L40" s="25" t="s">
        <v>557</v>
      </c>
    </row>
    <row r="41" spans="1:12" ht="120" x14ac:dyDescent="0.25">
      <c r="L41" s="25" t="s">
        <v>558</v>
      </c>
    </row>
    <row r="42" spans="1:12" ht="120" x14ac:dyDescent="0.25">
      <c r="L42" s="25" t="s">
        <v>559</v>
      </c>
    </row>
    <row r="43" spans="1:12" ht="30" x14ac:dyDescent="0.25">
      <c r="L43" s="25" t="s">
        <v>568</v>
      </c>
    </row>
    <row r="44" spans="1:12" ht="30" x14ac:dyDescent="0.25">
      <c r="L44" s="25" t="s">
        <v>569</v>
      </c>
    </row>
    <row r="45" spans="1:12" ht="30" x14ac:dyDescent="0.25">
      <c r="L45" s="25" t="s">
        <v>570</v>
      </c>
    </row>
  </sheetData>
  <mergeCells count="13">
    <mergeCell ref="B28:B29"/>
    <mergeCell ref="B30:B31"/>
    <mergeCell ref="B32:B33"/>
    <mergeCell ref="A28:A33"/>
    <mergeCell ref="B17:B19"/>
    <mergeCell ref="B20:B23"/>
    <mergeCell ref="B24:B27"/>
    <mergeCell ref="A3:A27"/>
    <mergeCell ref="B3:B6"/>
    <mergeCell ref="B7:B8"/>
    <mergeCell ref="B9:B11"/>
    <mergeCell ref="B12:B13"/>
    <mergeCell ref="B14:B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3:M14"/>
  <sheetViews>
    <sheetView workbookViewId="0">
      <selection activeCell="B4" sqref="B4"/>
    </sheetView>
  </sheetViews>
  <sheetFormatPr defaultRowHeight="15" x14ac:dyDescent="0.25"/>
  <cols>
    <col min="3" max="4" width="13.42578125" customWidth="1"/>
    <col min="5" max="5" width="17" customWidth="1"/>
    <col min="6" max="6" width="14.28515625" customWidth="1"/>
    <col min="7" max="7" width="20.7109375" customWidth="1"/>
    <col min="8" max="8" width="18.7109375" customWidth="1"/>
    <col min="9" max="9" width="14.7109375" customWidth="1"/>
    <col min="10" max="10" width="18.85546875" customWidth="1"/>
    <col min="11" max="11" width="10.7109375" customWidth="1"/>
    <col min="12" max="12" width="12" customWidth="1"/>
    <col min="13" max="13" width="12.7109375" customWidth="1"/>
  </cols>
  <sheetData>
    <row r="3" spans="2:13" ht="60" x14ac:dyDescent="0.25">
      <c r="C3" s="43" t="s">
        <v>551</v>
      </c>
      <c r="D3" s="43" t="s">
        <v>552</v>
      </c>
      <c r="E3" s="25" t="s">
        <v>554</v>
      </c>
      <c r="F3" s="25" t="s">
        <v>555</v>
      </c>
      <c r="G3" s="25" t="s">
        <v>556</v>
      </c>
      <c r="H3" s="25" t="s">
        <v>557</v>
      </c>
      <c r="I3" s="25" t="s">
        <v>558</v>
      </c>
      <c r="J3" s="25" t="s">
        <v>559</v>
      </c>
      <c r="K3" s="25" t="s">
        <v>568</v>
      </c>
      <c r="L3" s="25" t="s">
        <v>569</v>
      </c>
      <c r="M3" s="25" t="s">
        <v>570</v>
      </c>
    </row>
    <row r="4" spans="2:13" x14ac:dyDescent="0.25">
      <c r="B4" s="41" t="s">
        <v>221</v>
      </c>
      <c r="C4" s="44">
        <v>575000000</v>
      </c>
      <c r="D4" s="44"/>
      <c r="E4" s="44"/>
      <c r="F4" s="44"/>
      <c r="G4" s="44">
        <v>100000000000</v>
      </c>
      <c r="H4" s="44">
        <v>49500000000</v>
      </c>
      <c r="I4" s="44">
        <v>20000000000</v>
      </c>
      <c r="J4" s="44">
        <v>10000000000</v>
      </c>
      <c r="K4" s="44"/>
      <c r="L4" s="44"/>
      <c r="M4" s="44"/>
    </row>
    <row r="5" spans="2:13" x14ac:dyDescent="0.25">
      <c r="B5" s="41" t="s">
        <v>222</v>
      </c>
      <c r="C5" s="44">
        <v>800000000</v>
      </c>
      <c r="D5" s="44"/>
      <c r="E5" s="44"/>
      <c r="F5" s="44"/>
      <c r="G5" s="44"/>
      <c r="H5" s="44"/>
      <c r="I5" s="44">
        <v>55000000000</v>
      </c>
      <c r="J5" s="44">
        <v>27500000000</v>
      </c>
      <c r="K5" s="44"/>
      <c r="L5" s="44"/>
      <c r="M5" s="44"/>
    </row>
    <row r="6" spans="2:13" x14ac:dyDescent="0.25">
      <c r="B6" s="41" t="s">
        <v>223</v>
      </c>
      <c r="C6" s="44">
        <v>4800000000</v>
      </c>
      <c r="D6" s="44"/>
      <c r="E6" s="44">
        <v>110000000000</v>
      </c>
      <c r="F6" s="44">
        <v>35500000000</v>
      </c>
      <c r="G6" s="44"/>
      <c r="H6" s="44"/>
      <c r="I6" s="44">
        <v>110000000000</v>
      </c>
      <c r="J6" s="44">
        <v>55000000000</v>
      </c>
      <c r="K6" s="44"/>
      <c r="L6" s="44"/>
      <c r="M6" s="44"/>
    </row>
    <row r="7" spans="2:13" ht="15" customHeight="1" x14ac:dyDescent="0.25">
      <c r="B7" s="41" t="s">
        <v>224</v>
      </c>
      <c r="C7" s="44">
        <v>8000000000</v>
      </c>
      <c r="D7" s="44"/>
      <c r="E7" s="44"/>
      <c r="F7" s="44"/>
      <c r="G7" s="44"/>
      <c r="H7" s="44"/>
      <c r="I7" s="44">
        <v>165000000000</v>
      </c>
      <c r="J7" s="44">
        <v>82500000000</v>
      </c>
      <c r="K7" s="44"/>
      <c r="L7" s="44"/>
      <c r="M7" s="44"/>
    </row>
    <row r="8" spans="2:13" x14ac:dyDescent="0.25">
      <c r="B8" s="41" t="s">
        <v>227</v>
      </c>
      <c r="C8" s="44"/>
      <c r="D8" s="44">
        <v>3550000000</v>
      </c>
      <c r="E8" s="44">
        <v>55000000000</v>
      </c>
      <c r="F8" s="44">
        <v>17500000000</v>
      </c>
      <c r="G8" s="44"/>
      <c r="H8" s="44"/>
      <c r="I8" s="44"/>
      <c r="J8" s="44"/>
      <c r="K8" s="44"/>
      <c r="L8" s="44"/>
      <c r="M8" s="44"/>
    </row>
    <row r="9" spans="2:13" ht="15" customHeight="1" x14ac:dyDescent="0.25">
      <c r="B9" s="41" t="s">
        <v>553</v>
      </c>
      <c r="C9" s="44"/>
      <c r="D9" s="44">
        <v>14100000000</v>
      </c>
      <c r="E9" s="44"/>
      <c r="F9" s="44"/>
      <c r="G9" s="44"/>
      <c r="H9" s="44"/>
      <c r="I9" s="44"/>
      <c r="J9" s="44"/>
      <c r="K9" s="44"/>
      <c r="L9" s="44"/>
      <c r="M9" s="44"/>
    </row>
    <row r="10" spans="2:13" x14ac:dyDescent="0.25">
      <c r="B10" s="41" t="s">
        <v>241</v>
      </c>
      <c r="C10" s="44"/>
      <c r="D10" s="44"/>
      <c r="E10" s="44">
        <v>27500000000</v>
      </c>
      <c r="F10" s="44"/>
      <c r="G10" s="44"/>
      <c r="H10" s="44"/>
      <c r="I10" s="44"/>
      <c r="J10" s="44"/>
      <c r="K10" s="44"/>
      <c r="L10" s="44"/>
      <c r="M10" s="44"/>
    </row>
    <row r="11" spans="2:13" x14ac:dyDescent="0.25">
      <c r="B11" s="41" t="s">
        <v>235</v>
      </c>
      <c r="C11" s="44"/>
      <c r="D11" s="44"/>
      <c r="E11" s="44"/>
      <c r="F11" s="44"/>
      <c r="G11" s="44">
        <v>285000000000</v>
      </c>
      <c r="H11" s="44">
        <v>142500000000</v>
      </c>
      <c r="I11" s="44"/>
      <c r="J11" s="44"/>
      <c r="K11" s="44"/>
      <c r="L11" s="44"/>
      <c r="M11" s="44"/>
    </row>
    <row r="12" spans="2:13" ht="15" customHeight="1" x14ac:dyDescent="0.25">
      <c r="B12" s="41" t="s">
        <v>236</v>
      </c>
      <c r="C12" s="44"/>
      <c r="D12" s="44"/>
      <c r="E12" s="44"/>
      <c r="F12" s="44"/>
      <c r="G12" s="44">
        <v>570000000000</v>
      </c>
      <c r="H12" s="44">
        <v>285000000000</v>
      </c>
      <c r="I12" s="44"/>
      <c r="J12" s="44"/>
      <c r="K12" s="44"/>
      <c r="L12" s="44"/>
      <c r="M12" s="44"/>
    </row>
    <row r="13" spans="2:13" x14ac:dyDescent="0.25">
      <c r="B13" s="41">
        <v>200</v>
      </c>
      <c r="C13" s="44"/>
      <c r="D13" s="44"/>
      <c r="E13" s="44"/>
      <c r="F13" s="44"/>
      <c r="G13" s="44"/>
      <c r="H13" s="44"/>
      <c r="I13" s="44"/>
      <c r="J13" s="44"/>
      <c r="K13" s="44">
        <v>40000000</v>
      </c>
      <c r="L13" s="44">
        <v>450000000</v>
      </c>
      <c r="M13" s="44">
        <v>800000000</v>
      </c>
    </row>
    <row r="14" spans="2:13" x14ac:dyDescent="0.25">
      <c r="B14" s="41">
        <v>400</v>
      </c>
      <c r="C14" s="44"/>
      <c r="D14" s="44"/>
      <c r="E14" s="44"/>
      <c r="F14" s="44"/>
      <c r="G14" s="44"/>
      <c r="H14" s="44"/>
      <c r="I14" s="44"/>
      <c r="J14" s="44"/>
      <c r="K14" s="44">
        <v>80000000</v>
      </c>
      <c r="L14" s="44">
        <v>800000000</v>
      </c>
      <c r="M14" s="44">
        <v>1600000000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2"/>
  <sheetViews>
    <sheetView zoomScaleNormal="100" workbookViewId="0">
      <selection activeCell="G14" sqref="G14"/>
    </sheetView>
  </sheetViews>
  <sheetFormatPr defaultRowHeight="15" x14ac:dyDescent="0.25"/>
  <cols>
    <col min="1" max="1" width="14.28515625" style="104" customWidth="1"/>
    <col min="2" max="2" width="13.85546875" style="104" customWidth="1"/>
    <col min="3" max="3" width="19.140625" style="104" customWidth="1"/>
    <col min="4" max="4" width="26.42578125" style="104" bestFit="1" customWidth="1"/>
    <col min="5" max="5" width="0.5703125" style="104" customWidth="1"/>
    <col min="6" max="6" width="33" style="104" customWidth="1"/>
    <col min="7" max="7" width="14.5703125" style="104" customWidth="1"/>
    <col min="8" max="8" width="20" style="104" customWidth="1"/>
    <col min="9" max="9" width="0.5703125" style="104" customWidth="1"/>
    <col min="10" max="10" width="15.7109375" style="104" bestFit="1" customWidth="1"/>
    <col min="11" max="16384" width="9.140625" style="104"/>
  </cols>
  <sheetData>
    <row r="1" spans="1:13" x14ac:dyDescent="0.25">
      <c r="A1" s="223" t="s">
        <v>543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3" x14ac:dyDescent="0.25">
      <c r="A2" s="224" t="s">
        <v>260</v>
      </c>
      <c r="B2" s="224"/>
      <c r="C2" s="224"/>
      <c r="D2" s="151" t="str">
        <f>Input!F8</f>
        <v>Illumina</v>
      </c>
      <c r="E2" s="106"/>
      <c r="F2" s="105" t="s">
        <v>537</v>
      </c>
      <c r="G2" s="224" t="str">
        <f>Input!F12</f>
        <v>Array</v>
      </c>
      <c r="H2" s="224"/>
      <c r="I2" s="106"/>
      <c r="J2" s="224" t="s">
        <v>303</v>
      </c>
      <c r="K2" s="224"/>
      <c r="L2" s="105" t="str">
        <f>Input!F4</f>
        <v>FFPE</v>
      </c>
    </row>
    <row r="3" spans="1:13" x14ac:dyDescent="0.25">
      <c r="A3" s="224" t="s">
        <v>581</v>
      </c>
      <c r="B3" s="224"/>
      <c r="C3" s="224"/>
      <c r="D3" s="107">
        <f>Input!F6</f>
        <v>60</v>
      </c>
      <c r="E3" s="106"/>
      <c r="F3" s="105" t="s">
        <v>536</v>
      </c>
      <c r="G3" s="224" t="str">
        <f>Input!F10</f>
        <v>QIAGEN Rotor-Gene (6000)</v>
      </c>
      <c r="H3" s="224"/>
      <c r="I3" s="106"/>
      <c r="J3" s="222" t="s">
        <v>538</v>
      </c>
      <c r="K3" s="222"/>
      <c r="L3" s="105" t="str">
        <f>Input!F14</f>
        <v>Yes</v>
      </c>
    </row>
    <row r="4" spans="1:13" x14ac:dyDescent="0.25">
      <c r="A4" s="227" t="s">
        <v>541</v>
      </c>
      <c r="B4" s="227"/>
      <c r="C4" s="227"/>
      <c r="D4" s="105" t="str">
        <f>Input!F22</f>
        <v>13 to 24 for Illumina</v>
      </c>
      <c r="E4" s="106"/>
      <c r="F4" s="105" t="s">
        <v>539</v>
      </c>
      <c r="G4" s="224" t="str">
        <f>Input!F16</f>
        <v>BRCA1 and BRCA2 Panel (102X)</v>
      </c>
      <c r="H4" s="224"/>
      <c r="I4" s="106"/>
      <c r="J4" s="105"/>
      <c r="K4" s="108"/>
      <c r="L4" s="105"/>
    </row>
    <row r="5" spans="1:13" x14ac:dyDescent="0.25">
      <c r="A5" s="222" t="s">
        <v>542</v>
      </c>
      <c r="B5" s="222"/>
      <c r="C5" s="222"/>
      <c r="D5" s="105">
        <f>Input!F24</f>
        <v>24</v>
      </c>
      <c r="E5" s="106"/>
      <c r="F5" s="105" t="s">
        <v>540</v>
      </c>
      <c r="G5" s="226">
        <f>Input!F20</f>
        <v>96</v>
      </c>
      <c r="H5" s="226"/>
      <c r="I5" s="109"/>
      <c r="J5" s="108"/>
      <c r="K5" s="108"/>
      <c r="L5" s="105"/>
    </row>
    <row r="6" spans="1:13" s="111" customFormat="1" ht="3.75" customHeight="1" x14ac:dyDescent="0.25">
      <c r="A6" s="110"/>
      <c r="B6" s="110"/>
      <c r="C6" s="110"/>
      <c r="D6" s="106"/>
      <c r="E6" s="106"/>
      <c r="F6" s="106"/>
      <c r="G6" s="109"/>
      <c r="H6" s="109"/>
      <c r="I6" s="109"/>
      <c r="L6" s="106"/>
    </row>
    <row r="7" spans="1:13" ht="30.75" customHeight="1" x14ac:dyDescent="0.25">
      <c r="A7" s="220" t="s">
        <v>544</v>
      </c>
      <c r="B7" s="221" t="s">
        <v>545</v>
      </c>
      <c r="C7" s="221"/>
      <c r="D7" s="221"/>
      <c r="E7" s="221"/>
      <c r="F7" s="221"/>
      <c r="G7" s="221"/>
      <c r="H7" s="221"/>
      <c r="I7" s="221"/>
      <c r="J7" s="221"/>
      <c r="K7" s="225" t="s">
        <v>546</v>
      </c>
      <c r="L7" s="225"/>
    </row>
    <row r="8" spans="1:13" x14ac:dyDescent="0.25">
      <c r="A8" s="220"/>
      <c r="B8" s="221" t="s">
        <v>101</v>
      </c>
      <c r="C8" s="221" t="s">
        <v>123</v>
      </c>
      <c r="D8" s="221" t="s">
        <v>103</v>
      </c>
      <c r="E8" s="221"/>
      <c r="F8" s="221"/>
      <c r="G8" s="221" t="s">
        <v>124</v>
      </c>
      <c r="H8" s="221"/>
      <c r="I8" s="221"/>
      <c r="J8" s="221"/>
      <c r="K8" s="221" t="s">
        <v>263</v>
      </c>
      <c r="L8" s="221"/>
    </row>
    <row r="9" spans="1:13" x14ac:dyDescent="0.25">
      <c r="A9" s="220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</row>
    <row r="10" spans="1:13" x14ac:dyDescent="0.25">
      <c r="A10" s="112" t="s">
        <v>208</v>
      </c>
      <c r="B10" s="113" t="str">
        <f>IF(Input!F4="FFPE","180134",IF(Input!F4="Blood","51104","N/A"))</f>
        <v>180134</v>
      </c>
      <c r="C10" s="112" t="s">
        <v>139</v>
      </c>
      <c r="D10" s="214" t="str">
        <f>VLOOKUP($B$10,ProdNames,2,FALSE)</f>
        <v>GeneRead DNA FFPE Kit (50)</v>
      </c>
      <c r="E10" s="214"/>
      <c r="F10" s="214"/>
      <c r="G10" s="112">
        <f>VLOOKUP($B$10,ProdNames,3,FALSE)</f>
        <v>50</v>
      </c>
      <c r="H10" s="212"/>
      <c r="I10" s="212"/>
      <c r="J10" s="114"/>
      <c r="K10" s="115">
        <f>IF(Input!F4="None","0",ROUNDUP($D$3/G10,0))</f>
        <v>2</v>
      </c>
      <c r="L10" s="115"/>
    </row>
    <row r="11" spans="1:13" x14ac:dyDescent="0.25">
      <c r="A11" s="116" t="s">
        <v>86</v>
      </c>
      <c r="B11" s="116">
        <f>IF(Input!F12="Array",VLOOKUP(Input!F10,QuantiMIZEproducts,2,FALSE),VLOOKUP(Input!F10,QuantiMIZEproducts,7,FALSE))</f>
        <v>180642</v>
      </c>
      <c r="C11" s="116" t="str">
        <f>IF(Input!F12="Array",VLOOKUP(Input!F10,QuantiMIZEproducts,3,FALSE),VLOOKUP(Input!F10,QuantiMIZEproducts,8,FALSE))</f>
        <v>NGQA-002QR-2</v>
      </c>
      <c r="D11" s="216" t="str">
        <f>IF(Input!F12="Array",VLOOKUP(Input!F10,QuantiMIZEproducts,4,FALSE),VLOOKUP(Input!F10,QuantiMIZEproducts,9,FALSE))</f>
        <v>GeneRead DNA QuantiMIZE Array Kit</v>
      </c>
      <c r="E11" s="216"/>
      <c r="F11" s="216"/>
      <c r="G11" s="117">
        <f>IF(Input!F12="Array",VLOOKUP(Input!F10,QuantiMIZEproducts,5,FALSE),VLOOKUP(Input!F10,QuantiMIZEproducts,10,FALSE))</f>
        <v>30</v>
      </c>
      <c r="H11" s="213"/>
      <c r="I11" s="213"/>
      <c r="J11" s="118"/>
      <c r="K11" s="119">
        <f t="shared" ref="K11:K15" si="0">ROUNDUP($D$3/G11,0)</f>
        <v>2</v>
      </c>
      <c r="L11" s="119"/>
    </row>
    <row r="12" spans="1:13" x14ac:dyDescent="0.25">
      <c r="A12" s="219" t="s">
        <v>87</v>
      </c>
      <c r="B12" s="120">
        <f>IF(Input!F16="Custom Panel","181902",IF(Input!F16="Mix-n-Match Panel","181905",IF(Input!F20=12,VLOOKUP(Input!F16,AllCatalogedPanels,2,FALSE),VLOOKUP(Input!F16,AllCatalogedPanels,7,FALSE))))</f>
        <v>181900</v>
      </c>
      <c r="C12" s="120" t="str">
        <f>IF(Input!F16="Custom Panel",CONCATENATE(Input!G18,"-",Input!H18),IF(Input!F16="Mix-n-Match Panel",CONCATENATE(Input!G18,"-",Input!H18),IF(Input!F20=12,VLOOKUP(Input!F16,AllCatalogedPanels,3,FALSE),VLOOKUP(Input!F16,AllCatalogedPanels,8,FALSE))))</f>
        <v>NGHS-102X-96</v>
      </c>
      <c r="D12" s="215" t="str">
        <f>IF(Input!F16="Custom Panel","GeneRaed DNAseq Custom Panel V2",IF(Input!F16="Mix-n-Match Panel","GeneRead DNAseq Mix-n-Match Panel V2",IF(Input!$F$20=12,VLOOKUP(Input!$F$16,AllCatalogedPanels,4,FALSE),VLOOKUP(Input!$F$16,AllCatalogedPanels,9,FALSE))))</f>
        <v>GeneRead DNAseq Human BRCA1 and BRCA2 Panel V2</v>
      </c>
      <c r="E12" s="215"/>
      <c r="F12" s="215"/>
      <c r="G12" s="149">
        <f>IF(Input!F16="Custom Panel","480",IF(Input!F16="Mix-n-Match Panel","96",IF(Input!$F$20=12,VLOOKUP(Input!$F$16,AllCatalogedPanels,5,FALSE),VLOOKUP(Input!$F$16,AllCatalogedPanels,10,FALSE))))</f>
        <v>96</v>
      </c>
      <c r="H12" s="215"/>
      <c r="I12" s="215"/>
      <c r="J12" s="121"/>
      <c r="K12" s="122">
        <f t="shared" si="0"/>
        <v>1</v>
      </c>
      <c r="L12" s="122"/>
    </row>
    <row r="13" spans="1:13" x14ac:dyDescent="0.25">
      <c r="A13" s="219"/>
      <c r="B13" s="112" t="str">
        <f>IF(Input!F16="Custom Panel","181942",IF(Input!F16="Mix-n-Match Panel","181942",IF(Input!$F$20=12,"181940","181942")))</f>
        <v>181942</v>
      </c>
      <c r="C13" s="112" t="s">
        <v>139</v>
      </c>
      <c r="D13" s="214" t="str">
        <f>IF(Input!$F$20=12,"GeneRead DNAseq Panel PCR Kit V2 (12)","GeneRead DNAseq Panel PCR Kit V2 (96)")</f>
        <v>GeneRead DNAseq Panel PCR Kit V2 (96)</v>
      </c>
      <c r="E13" s="214"/>
      <c r="F13" s="214"/>
      <c r="G13" s="112" t="str">
        <f>IF(Input!F16="Custom Panel","96",IF(Input!F16="Mix-n-Match Panel","96",IF(Input!$F$20=12,"12","96")))</f>
        <v>96</v>
      </c>
      <c r="H13" s="214"/>
      <c r="I13" s="214"/>
      <c r="J13" s="114"/>
      <c r="K13" s="115">
        <f t="shared" si="0"/>
        <v>1</v>
      </c>
      <c r="L13" s="115"/>
    </row>
    <row r="14" spans="1:13" ht="15" customHeight="1" x14ac:dyDescent="0.25">
      <c r="A14" s="213" t="s">
        <v>88</v>
      </c>
      <c r="B14" s="123" t="str">
        <f>IF(Input!F8="Illumina",IF(Input!F6&lt;=12,VLOOKUP(Input!F8,LibConstruction,2,FALSE),"180434"),"180462")</f>
        <v>180434</v>
      </c>
      <c r="C14" s="123" t="s">
        <v>139</v>
      </c>
      <c r="D14" s="218" t="str">
        <f>VLOOKUP($B$14,ProdNames,2,FALSE)</f>
        <v>GeneRead DNA Library I Core Kit (48)</v>
      </c>
      <c r="E14" s="218"/>
      <c r="F14" s="218"/>
      <c r="G14" s="123">
        <f>IF(B14="180434",48,12)</f>
        <v>48</v>
      </c>
      <c r="H14" s="218"/>
      <c r="I14" s="218"/>
      <c r="J14" s="124"/>
      <c r="K14" s="125">
        <f t="shared" si="0"/>
        <v>2</v>
      </c>
      <c r="L14" s="125"/>
    </row>
    <row r="15" spans="1:13" x14ac:dyDescent="0.25">
      <c r="A15" s="213"/>
      <c r="B15" s="126" t="str">
        <f>IF(Input!F22="1 only for Illumina","180912",IF(Input!F22="12 or less for Illumina","180985",IF(Input!F22="13 to 24 for Illumina","180985",IF(Input!F22="More than 24 for Illumina","514105",IF(Input!F22="1 only for Ion Torrent","180922",IF(Input!F22="12 or less for Ion Torrent","180994",IF(Input!F22="More than 12 for Ion Torrent","4474517")))))))</f>
        <v>180985</v>
      </c>
      <c r="C15" s="126" t="s">
        <v>139</v>
      </c>
      <c r="D15" s="217" t="str">
        <f>VLOOKUP($B$15,ProdNames,2,FALSE)</f>
        <v>GeneRead Adapter I Set A 12-plex (144)</v>
      </c>
      <c r="E15" s="217"/>
      <c r="F15" s="217"/>
      <c r="G15" s="126">
        <f>VLOOKUP($B$15,ProdNames,3,FALSE)</f>
        <v>144</v>
      </c>
      <c r="H15" s="217"/>
      <c r="I15" s="217"/>
      <c r="J15" s="127"/>
      <c r="K15" s="128">
        <f t="shared" si="0"/>
        <v>1</v>
      </c>
      <c r="L15" s="128"/>
      <c r="M15" s="129" t="str">
        <f>IF(B15="4474517","Not from QIAGEN",IF(B15="514105","Not from QIAGEN",""))</f>
        <v/>
      </c>
    </row>
    <row r="16" spans="1:13" x14ac:dyDescent="0.25">
      <c r="A16" s="213"/>
      <c r="B16" s="126" t="str">
        <f>IF(Input!F22="13 to 24 for Illumina","180986","")</f>
        <v>180986</v>
      </c>
      <c r="C16" s="126" t="str">
        <f>IF(Input!F22="13 to 24 for Illumina","N/A","")</f>
        <v>N/A</v>
      </c>
      <c r="D16" s="217" t="str">
        <f>IF(Input!F22="13 to 24 for Illumina","GeneRead Adapter I Set B 12-plex (144)","")</f>
        <v>GeneRead Adapter I Set B 12-plex (144)</v>
      </c>
      <c r="E16" s="217"/>
      <c r="F16" s="217"/>
      <c r="G16" s="126" t="str">
        <f>IF(Input!F22="13 to 24 for Illumina","144","")</f>
        <v>144</v>
      </c>
      <c r="H16" s="217"/>
      <c r="I16" s="217"/>
      <c r="J16" s="127"/>
      <c r="K16" s="128">
        <f>IF(Input!F22="13 to 24 for Illumina",ROUNDUP($D$3/G16,0),"")</f>
        <v>1</v>
      </c>
      <c r="L16" s="128"/>
      <c r="M16" s="129"/>
    </row>
    <row r="17" spans="1:13" x14ac:dyDescent="0.25">
      <c r="A17" s="213"/>
      <c r="B17" s="123">
        <f>IF(Input!F8="Illumina",VLOOKUP(Input!F8,LibConstruction,12,FALSE),VLOOKUP(Input!F8,LibConstruction,12,FALSE))</f>
        <v>180455</v>
      </c>
      <c r="C17" s="123" t="s">
        <v>139</v>
      </c>
      <c r="D17" s="218" t="str">
        <f>IF(Input!F8="Illumina",VLOOKUP(Input!F8,LibConstruction,14,FALSE),VLOOKUP(Input!F8,LibConstruction,14,FALSE))</f>
        <v>GeneRead DNA I Amp Kit (100)</v>
      </c>
      <c r="E17" s="218"/>
      <c r="F17" s="218"/>
      <c r="G17" s="123">
        <f>IF(Input!F8="Illumina",VLOOKUP(Input!F8,LibConstruction,15,FALSE),VLOOKUP(Input!F8,LibConstruction,15,FALSE))</f>
        <v>100</v>
      </c>
      <c r="H17" s="218"/>
      <c r="I17" s="218"/>
      <c r="J17" s="124"/>
      <c r="K17" s="125">
        <f>ROUNDUP($D$3/G17,0)</f>
        <v>1</v>
      </c>
      <c r="L17" s="125"/>
    </row>
    <row r="18" spans="1:13" x14ac:dyDescent="0.25">
      <c r="A18" s="213"/>
      <c r="B18" s="116" t="s">
        <v>154</v>
      </c>
      <c r="C18" s="116" t="s">
        <v>139</v>
      </c>
      <c r="D18" s="216" t="s">
        <v>155</v>
      </c>
      <c r="E18" s="216"/>
      <c r="F18" s="216"/>
      <c r="G18" s="130">
        <f>IF(Input!F8="Illumina",VLOOKUP(Input!F8,AMPure,2,FALSE),VLOOKUP(Input!F8,AMPure,2,FALSE))</f>
        <v>20.161290322580644</v>
      </c>
      <c r="H18" s="216"/>
      <c r="I18" s="216"/>
      <c r="J18" s="118"/>
      <c r="K18" s="119">
        <f>ROUNDUP($D$3/G18,0)</f>
        <v>3</v>
      </c>
      <c r="L18" s="119"/>
      <c r="M18" s="129" t="s">
        <v>264</v>
      </c>
    </row>
    <row r="19" spans="1:13" x14ac:dyDescent="0.25">
      <c r="A19" s="219" t="s">
        <v>89</v>
      </c>
      <c r="B19" s="120" t="e">
        <f>IF(Input!F12="Assay",VLOOKUP(Input!F10,LibQuant,32,FALSE),IF(Input!F14="Yes",VLOOKUP(Input!F10,LibQuant,2,FALSE),VLOOKUP(Input!F10,LibQuant,17,FALSE)))</f>
        <v>#N/A</v>
      </c>
      <c r="C19" s="120" t="e">
        <f>IF(Input!F8="Illumina",IF(Input!F12="Assay",VLOOKUP(Input!F10,LibQuantIL,23,FALSE),IF(Input!F14="Yes",VLOOKUP(Input!F10,LibQuantIL,3,FALSE),VLOOKUP(Input!F10,LibQuantIL,13,FALSE))),IF(Input!F12="Assay",VLOOKUP(Input!F10,LibQuantIT,23,FALSE),IF(Input!F14="Yes",VLOOKUP(Input!F10,LibQuantIT,3,FALSE),VLOOKUP(Input!F10,LibQuantIT,13,FALSE))))</f>
        <v>#N/A</v>
      </c>
      <c r="D19" s="215" t="e">
        <f>IF(Input!F12="Assay",VLOOKUP(Input!F10,LibQuant,34,FALSE),IF(Input!F14="Yes",VLOOKUP(Input!F10,LibQuant,4,FALSE),VLOOKUP(Input!F10,LibQuant,19,FALSE)))</f>
        <v>#N/A</v>
      </c>
      <c r="E19" s="215"/>
      <c r="F19" s="215"/>
      <c r="G19" s="120" t="e">
        <f>IF(Input!F12="Assay",VLOOKUP(Input!F10,LibQuant,35,FALSE),IF(Input!F14="Yes",VLOOKUP(Input!F10,LibQuant,5,FALSE),VLOOKUP(Input!F10,LibQuant,20,FALSE)))</f>
        <v>#N/A</v>
      </c>
      <c r="H19" s="215"/>
      <c r="I19" s="215"/>
      <c r="J19" s="121"/>
      <c r="K19" s="122" t="e">
        <f>ROUNDUP($D$3/G19,0)</f>
        <v>#N/A</v>
      </c>
      <c r="L19" s="122"/>
    </row>
    <row r="20" spans="1:13" x14ac:dyDescent="0.25">
      <c r="A20" s="219"/>
      <c r="B20" s="112" t="e">
        <f>IF(Input!F12="Assay","",IF(Input!F14="Yes",VLOOKUP(Input!F10,LibQuant,12,FALSE),VLOOKUP(Input!F10,LibQuant,27,FALSE)))</f>
        <v>#N/A</v>
      </c>
      <c r="C20" s="112" t="str">
        <f>IF(Input!F12="Assay","","N/A")</f>
        <v>N/A</v>
      </c>
      <c r="D20" s="214" t="e">
        <f>IF(Input!F12="Assay","",IF(Input!F14="Yes",VLOOKUP(Input!F10,LibQuant,14,FALSE),VLOOKUP(Input!F10,LibQuant,29,FALSE)))</f>
        <v>#N/A</v>
      </c>
      <c r="E20" s="214"/>
      <c r="F20" s="214"/>
      <c r="G20" s="112" t="e">
        <f>IF(Input!F12="Assay","",IF(Input!F14="Yes",VLOOKUP(Input!F10,LibQuant,15,FALSE),VLOOKUP(Input!F10,LibQuant,30,FALSE)))</f>
        <v>#N/A</v>
      </c>
      <c r="H20" s="214"/>
      <c r="I20" s="214"/>
      <c r="J20" s="114"/>
      <c r="K20" s="115" t="e">
        <f>IF(B20="","",ROUNDUP($D$3/G20,0))</f>
        <v>#N/A</v>
      </c>
      <c r="L20" s="115"/>
    </row>
    <row r="21" spans="1:13" x14ac:dyDescent="0.25">
      <c r="A21" s="216" t="s">
        <v>207</v>
      </c>
      <c r="B21" s="123" t="str">
        <f>IF(Input!F8="Illumina","MS-102-2002","4484355")</f>
        <v>MS-102-2002</v>
      </c>
      <c r="C21" s="123" t="s">
        <v>139</v>
      </c>
      <c r="D21" s="218" t="str">
        <f>IF(Input!F8="Illumina","MiSeq Reagent Kits v2 (300 cycles) (2x150)","Ion 318 Chip Kit v2")</f>
        <v>MiSeq Reagent Kits v2 (300 cycles) (2x150)</v>
      </c>
      <c r="E21" s="218"/>
      <c r="F21" s="218"/>
      <c r="G21" s="123">
        <f>IF(Input!F24="","",Input!F24)</f>
        <v>24</v>
      </c>
      <c r="H21" s="218"/>
      <c r="I21" s="218"/>
      <c r="J21" s="124"/>
      <c r="K21" s="125">
        <f>ROUNDUP($D$3/G21,0)</f>
        <v>3</v>
      </c>
      <c r="L21" s="125"/>
      <c r="M21" s="232" t="s">
        <v>264</v>
      </c>
    </row>
    <row r="22" spans="1:13" x14ac:dyDescent="0.25">
      <c r="A22" s="216"/>
      <c r="B22" s="126" t="str">
        <f>IF(Input!F8="Ion Torrent","4482006","")</f>
        <v/>
      </c>
      <c r="C22" s="126" t="str">
        <f>IF(Input!F8="Ion Torrent","N/A","")</f>
        <v/>
      </c>
      <c r="D22" s="217" t="str">
        <f>IF(Input!F8="Ion Torrent","Ion PGM Sequencing 200 Kit v2","")</f>
        <v/>
      </c>
      <c r="E22" s="217"/>
      <c r="F22" s="217"/>
      <c r="G22" s="126" t="str">
        <f>IF(Input!F8="Ion Torrent",Input!F24,"")</f>
        <v/>
      </c>
      <c r="H22" s="217" t="str">
        <f>IF(Input!F8="Ion Torrent","1018","")</f>
        <v/>
      </c>
      <c r="I22" s="217"/>
      <c r="J22" s="127" t="str">
        <f>IF(Input!F8="Ion Torrent",H22/G22,"")</f>
        <v/>
      </c>
      <c r="K22" s="128" t="str">
        <f>IF(Input!F8="Ion Torrent",ROUNDUP($D$3/G22,0),"")</f>
        <v/>
      </c>
      <c r="L22" s="128"/>
      <c r="M22" s="232"/>
    </row>
    <row r="23" spans="1:13" x14ac:dyDescent="0.25">
      <c r="A23" s="216"/>
      <c r="B23" s="116" t="str">
        <f>IF(Input!F8="Ion Torrent","4480974","")</f>
        <v/>
      </c>
      <c r="C23" s="144" t="str">
        <f>IF(Input!F8="Ion Torrent","N/A","")</f>
        <v/>
      </c>
      <c r="D23" s="229" t="str">
        <f>IF(Input!F8="Ion Torrent","Ion PGM Template OT2 200 Kit","")</f>
        <v/>
      </c>
      <c r="E23" s="229"/>
      <c r="F23" s="229"/>
      <c r="G23" s="116" t="str">
        <f>IF(Input!F8="Ion Torrent",Input!F24,"")</f>
        <v/>
      </c>
      <c r="H23" s="229" t="str">
        <f>IF(Input!F8="Ion Torrent","1272","")</f>
        <v/>
      </c>
      <c r="I23" s="229"/>
      <c r="J23" s="118" t="str">
        <f>IF(Input!F8="Ion Torrent",H23/G23,"")</f>
        <v/>
      </c>
      <c r="K23" s="119" t="str">
        <f>IF(Input!F8="Ion Torrent",ROUNDUP($D$3/G23,0),"")</f>
        <v/>
      </c>
      <c r="L23" s="119"/>
      <c r="M23" s="232"/>
    </row>
    <row r="24" spans="1:13" x14ac:dyDescent="0.25">
      <c r="A24" s="228" t="s">
        <v>577</v>
      </c>
      <c r="B24" s="228"/>
      <c r="C24" s="228"/>
      <c r="D24" s="228"/>
      <c r="E24" s="228"/>
      <c r="F24" s="228"/>
      <c r="G24" s="228"/>
      <c r="H24" s="228"/>
      <c r="I24" s="228"/>
      <c r="J24" s="131"/>
      <c r="K24" s="132"/>
      <c r="L24" s="132"/>
    </row>
    <row r="26" spans="1:13" x14ac:dyDescent="0.25">
      <c r="A26" s="233" t="s">
        <v>277</v>
      </c>
      <c r="B26" s="233"/>
      <c r="C26" s="233"/>
      <c r="D26" s="233"/>
      <c r="E26" s="133"/>
      <c r="F26" s="133"/>
    </row>
    <row r="27" spans="1:13" x14ac:dyDescent="0.25">
      <c r="A27" s="230"/>
      <c r="B27" s="230"/>
      <c r="C27" s="230"/>
      <c r="D27" s="230"/>
      <c r="E27" s="134"/>
      <c r="F27" s="134"/>
    </row>
    <row r="28" spans="1:13" x14ac:dyDescent="0.25">
      <c r="A28" s="135"/>
    </row>
    <row r="29" spans="1:13" x14ac:dyDescent="0.25">
      <c r="A29" s="231" t="s">
        <v>609</v>
      </c>
      <c r="B29" s="231"/>
      <c r="C29" s="231"/>
      <c r="D29" s="231"/>
    </row>
    <row r="30" spans="1:13" x14ac:dyDescent="0.25">
      <c r="A30" s="135"/>
    </row>
    <row r="31" spans="1:13" x14ac:dyDescent="0.25">
      <c r="A31" s="136" t="s">
        <v>582</v>
      </c>
    </row>
    <row r="32" spans="1:13" x14ac:dyDescent="0.25">
      <c r="A32" s="135"/>
    </row>
  </sheetData>
  <sheetProtection password="F35B" sheet="1" objects="1" scenarios="1"/>
  <mergeCells count="60">
    <mergeCell ref="D18:F18"/>
    <mergeCell ref="A27:D27"/>
    <mergeCell ref="A29:D29"/>
    <mergeCell ref="M21:M23"/>
    <mergeCell ref="H22:I22"/>
    <mergeCell ref="H23:I23"/>
    <mergeCell ref="A26:D26"/>
    <mergeCell ref="H20:I20"/>
    <mergeCell ref="H21:I21"/>
    <mergeCell ref="A24:I24"/>
    <mergeCell ref="A21:A23"/>
    <mergeCell ref="D22:F22"/>
    <mergeCell ref="D23:F23"/>
    <mergeCell ref="D21:F21"/>
    <mergeCell ref="A1:L1"/>
    <mergeCell ref="D8:F9"/>
    <mergeCell ref="G3:H3"/>
    <mergeCell ref="G4:H4"/>
    <mergeCell ref="J2:K2"/>
    <mergeCell ref="J3:K3"/>
    <mergeCell ref="G2:H2"/>
    <mergeCell ref="A3:C3"/>
    <mergeCell ref="A2:C2"/>
    <mergeCell ref="K7:L7"/>
    <mergeCell ref="J8:J9"/>
    <mergeCell ref="K8:K9"/>
    <mergeCell ref="L8:L9"/>
    <mergeCell ref="G5:H5"/>
    <mergeCell ref="H8:I8"/>
    <mergeCell ref="A4:C4"/>
    <mergeCell ref="A7:A9"/>
    <mergeCell ref="B8:B9"/>
    <mergeCell ref="C8:C9"/>
    <mergeCell ref="A5:C5"/>
    <mergeCell ref="B7:J7"/>
    <mergeCell ref="H9:I9"/>
    <mergeCell ref="G8:G9"/>
    <mergeCell ref="H16:I16"/>
    <mergeCell ref="H17:I17"/>
    <mergeCell ref="A12:A13"/>
    <mergeCell ref="A19:A20"/>
    <mergeCell ref="H12:I12"/>
    <mergeCell ref="D19:F19"/>
    <mergeCell ref="D20:F20"/>
    <mergeCell ref="H15:I15"/>
    <mergeCell ref="H14:I14"/>
    <mergeCell ref="A14:A18"/>
    <mergeCell ref="D14:F14"/>
    <mergeCell ref="D15:F15"/>
    <mergeCell ref="D16:F16"/>
    <mergeCell ref="D17:F17"/>
    <mergeCell ref="H18:I18"/>
    <mergeCell ref="H19:I19"/>
    <mergeCell ref="H10:I10"/>
    <mergeCell ref="H11:I11"/>
    <mergeCell ref="H13:I13"/>
    <mergeCell ref="D12:F12"/>
    <mergeCell ref="D10:F10"/>
    <mergeCell ref="D11:F11"/>
    <mergeCell ref="D13:F13"/>
  </mergeCells>
  <printOptions horizontalCentered="1" verticalCentered="1"/>
  <pageMargins left="0.25" right="0.25" top="0.75" bottom="0.75" header="1.8" footer="0.3"/>
  <pageSetup scale="76" orientation="landscape" r:id="rId1"/>
  <headerFooter>
    <oddHeader>&amp;C&amp;"-,Bold"Targeted NGS workflow using the GeneRead DNAseq Panels V2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36"/>
  <sheetViews>
    <sheetView workbookViewId="0">
      <pane xSplit="1" ySplit="3" topLeftCell="N11" activePane="bottomRight" state="frozen"/>
      <selection pane="topRight" activeCell="B1" sqref="B1"/>
      <selection pane="bottomLeft" activeCell="A4" sqref="A4"/>
      <selection pane="bottomRight" activeCell="Z4" sqref="Z4:Z38"/>
    </sheetView>
  </sheetViews>
  <sheetFormatPr defaultRowHeight="15" x14ac:dyDescent="0.25"/>
  <cols>
    <col min="1" max="1" width="35.7109375" bestFit="1" customWidth="1"/>
    <col min="6" max="10" width="9.140625" style="4"/>
    <col min="11" max="11" width="9.140625" style="3"/>
    <col min="16" max="20" width="9.140625" style="4"/>
    <col min="21" max="21" width="9.140625" style="3"/>
  </cols>
  <sheetData>
    <row r="1" spans="1:26" x14ac:dyDescent="0.25">
      <c r="B1" s="234"/>
      <c r="C1" s="234"/>
      <c r="D1" s="234"/>
      <c r="E1" s="234"/>
      <c r="F1" s="234"/>
      <c r="G1" s="6" t="s">
        <v>202</v>
      </c>
      <c r="H1" s="6"/>
      <c r="I1" s="6"/>
      <c r="J1" s="6"/>
      <c r="K1" s="5"/>
      <c r="L1" s="234"/>
      <c r="M1" s="234"/>
      <c r="N1" s="234"/>
      <c r="O1" s="234"/>
      <c r="P1" s="234"/>
      <c r="Q1" s="6" t="s">
        <v>202</v>
      </c>
      <c r="R1" s="6"/>
      <c r="S1" s="6"/>
      <c r="T1" s="6"/>
      <c r="U1" s="5"/>
      <c r="V1" t="s">
        <v>107</v>
      </c>
    </row>
    <row r="2" spans="1:26" x14ac:dyDescent="0.25">
      <c r="B2" s="234" t="s">
        <v>160</v>
      </c>
      <c r="C2" s="234"/>
      <c r="D2" s="234"/>
      <c r="E2" s="234"/>
      <c r="F2" s="234"/>
      <c r="G2" s="6"/>
      <c r="H2" s="6"/>
      <c r="I2" s="6"/>
      <c r="J2" s="6"/>
      <c r="K2" s="5"/>
      <c r="L2" s="234" t="s">
        <v>160</v>
      </c>
      <c r="M2" s="234"/>
      <c r="N2" s="234"/>
      <c r="O2" s="234"/>
      <c r="P2" s="234"/>
      <c r="Q2" s="6"/>
      <c r="R2" s="6"/>
      <c r="S2" s="6"/>
      <c r="T2" s="6"/>
      <c r="U2" s="5"/>
      <c r="V2" s="234" t="s">
        <v>160</v>
      </c>
      <c r="W2" s="234"/>
      <c r="X2" s="234"/>
      <c r="Y2" s="234"/>
      <c r="Z2" s="234"/>
    </row>
    <row r="3" spans="1:26" x14ac:dyDescent="0.25">
      <c r="A3" t="s">
        <v>3</v>
      </c>
      <c r="B3" t="s">
        <v>101</v>
      </c>
      <c r="C3" t="s">
        <v>102</v>
      </c>
      <c r="D3" t="s">
        <v>103</v>
      </c>
      <c r="E3" t="s">
        <v>104</v>
      </c>
      <c r="F3" s="4" t="s">
        <v>105</v>
      </c>
      <c r="G3" t="s">
        <v>101</v>
      </c>
      <c r="H3" t="s">
        <v>102</v>
      </c>
      <c r="I3" t="s">
        <v>103</v>
      </c>
      <c r="J3" t="s">
        <v>104</v>
      </c>
      <c r="K3" t="s">
        <v>105</v>
      </c>
      <c r="L3" t="s">
        <v>101</v>
      </c>
      <c r="M3" t="s">
        <v>102</v>
      </c>
      <c r="N3" t="s">
        <v>103</v>
      </c>
      <c r="O3" t="s">
        <v>104</v>
      </c>
      <c r="P3" s="4" t="s">
        <v>105</v>
      </c>
      <c r="Q3" t="s">
        <v>101</v>
      </c>
      <c r="R3" t="s">
        <v>102</v>
      </c>
      <c r="S3" t="s">
        <v>103</v>
      </c>
      <c r="T3" t="s">
        <v>104</v>
      </c>
      <c r="U3" t="s">
        <v>105</v>
      </c>
      <c r="V3" t="s">
        <v>101</v>
      </c>
      <c r="W3" t="s">
        <v>102</v>
      </c>
      <c r="X3" t="s">
        <v>103</v>
      </c>
      <c r="Y3" t="s">
        <v>104</v>
      </c>
      <c r="Z3" t="s">
        <v>105</v>
      </c>
    </row>
    <row r="4" spans="1:26" x14ac:dyDescent="0.25">
      <c r="A4" t="s">
        <v>4</v>
      </c>
      <c r="B4">
        <v>180601</v>
      </c>
      <c r="C4" t="s">
        <v>179</v>
      </c>
      <c r="D4" t="s">
        <v>163</v>
      </c>
      <c r="E4">
        <v>12</v>
      </c>
      <c r="G4" s="4">
        <v>180840</v>
      </c>
      <c r="I4" s="4" t="s">
        <v>204</v>
      </c>
      <c r="J4" s="7">
        <v>12</v>
      </c>
      <c r="L4">
        <v>180611</v>
      </c>
      <c r="M4" t="s">
        <v>195</v>
      </c>
      <c r="N4" t="s">
        <v>164</v>
      </c>
      <c r="O4">
        <v>26</v>
      </c>
      <c r="Q4" s="4">
        <v>180840</v>
      </c>
      <c r="S4" s="4" t="s">
        <v>204</v>
      </c>
      <c r="T4" s="7">
        <v>26</v>
      </c>
      <c r="V4">
        <v>180612</v>
      </c>
      <c r="W4" t="s">
        <v>170</v>
      </c>
      <c r="X4" t="s">
        <v>165</v>
      </c>
      <c r="Y4">
        <v>60</v>
      </c>
    </row>
    <row r="5" spans="1:26" x14ac:dyDescent="0.25">
      <c r="A5" t="s">
        <v>5</v>
      </c>
      <c r="B5">
        <v>180601</v>
      </c>
      <c r="C5" t="s">
        <v>179</v>
      </c>
      <c r="D5" t="s">
        <v>163</v>
      </c>
      <c r="E5">
        <v>12</v>
      </c>
      <c r="G5" s="4">
        <v>180840</v>
      </c>
      <c r="I5" s="4" t="s">
        <v>204</v>
      </c>
      <c r="J5" s="7">
        <v>12</v>
      </c>
      <c r="L5">
        <v>180611</v>
      </c>
      <c r="M5" t="s">
        <v>195</v>
      </c>
      <c r="N5" t="s">
        <v>164</v>
      </c>
      <c r="O5">
        <v>26</v>
      </c>
      <c r="Q5" s="4">
        <v>180840</v>
      </c>
      <c r="S5" s="4" t="s">
        <v>204</v>
      </c>
      <c r="T5" s="7">
        <v>26</v>
      </c>
      <c r="V5">
        <v>180612</v>
      </c>
      <c r="W5" t="s">
        <v>170</v>
      </c>
      <c r="X5" t="s">
        <v>165</v>
      </c>
      <c r="Y5">
        <v>60</v>
      </c>
    </row>
    <row r="6" spans="1:26" x14ac:dyDescent="0.25">
      <c r="A6" t="s">
        <v>6</v>
      </c>
      <c r="B6">
        <v>180601</v>
      </c>
      <c r="C6" t="s">
        <v>179</v>
      </c>
      <c r="D6" t="s">
        <v>163</v>
      </c>
      <c r="E6">
        <v>12</v>
      </c>
      <c r="G6" s="4">
        <v>180840</v>
      </c>
      <c r="I6" s="4" t="s">
        <v>204</v>
      </c>
      <c r="J6" s="7">
        <v>12</v>
      </c>
      <c r="L6">
        <v>180611</v>
      </c>
      <c r="M6" t="s">
        <v>195</v>
      </c>
      <c r="N6" t="s">
        <v>164</v>
      </c>
      <c r="O6">
        <v>26</v>
      </c>
      <c r="Q6" s="4">
        <v>180840</v>
      </c>
      <c r="S6" s="4" t="s">
        <v>204</v>
      </c>
      <c r="T6" s="7">
        <v>26</v>
      </c>
      <c r="V6">
        <v>180612</v>
      </c>
      <c r="W6" t="s">
        <v>170</v>
      </c>
      <c r="X6" t="s">
        <v>165</v>
      </c>
      <c r="Y6">
        <v>60</v>
      </c>
    </row>
    <row r="7" spans="1:26" x14ac:dyDescent="0.25">
      <c r="A7" t="s">
        <v>7</v>
      </c>
      <c r="B7">
        <v>180601</v>
      </c>
      <c r="C7" t="s">
        <v>179</v>
      </c>
      <c r="D7" t="s">
        <v>163</v>
      </c>
      <c r="E7">
        <v>12</v>
      </c>
      <c r="G7" s="4">
        <v>180840</v>
      </c>
      <c r="I7" s="4" t="s">
        <v>204</v>
      </c>
      <c r="J7" s="7">
        <v>12</v>
      </c>
      <c r="L7">
        <v>180611</v>
      </c>
      <c r="M7" t="s">
        <v>195</v>
      </c>
      <c r="N7" t="s">
        <v>164</v>
      </c>
      <c r="O7">
        <v>26</v>
      </c>
      <c r="Q7" s="4">
        <v>180840</v>
      </c>
      <c r="S7" s="4" t="s">
        <v>204</v>
      </c>
      <c r="T7" s="7">
        <v>26</v>
      </c>
      <c r="V7">
        <v>180612</v>
      </c>
      <c r="W7" t="s">
        <v>170</v>
      </c>
      <c r="X7" t="s">
        <v>165</v>
      </c>
      <c r="Y7">
        <v>60</v>
      </c>
    </row>
    <row r="8" spans="1:26" x14ac:dyDescent="0.25">
      <c r="A8" t="s">
        <v>8</v>
      </c>
      <c r="B8">
        <v>180601</v>
      </c>
      <c r="C8" t="s">
        <v>179</v>
      </c>
      <c r="D8" t="s">
        <v>163</v>
      </c>
      <c r="E8">
        <v>12</v>
      </c>
      <c r="G8" s="4">
        <v>180840</v>
      </c>
      <c r="I8" s="4" t="s">
        <v>204</v>
      </c>
      <c r="J8" s="7">
        <v>12</v>
      </c>
      <c r="L8">
        <v>180611</v>
      </c>
      <c r="M8" t="s">
        <v>195</v>
      </c>
      <c r="N8" t="s">
        <v>164</v>
      </c>
      <c r="O8">
        <v>26</v>
      </c>
      <c r="Q8" s="4">
        <v>180840</v>
      </c>
      <c r="S8" s="4" t="s">
        <v>204</v>
      </c>
      <c r="T8" s="7">
        <v>26</v>
      </c>
      <c r="V8">
        <v>180612</v>
      </c>
      <c r="W8" t="s">
        <v>170</v>
      </c>
      <c r="X8" t="s">
        <v>165</v>
      </c>
      <c r="Y8">
        <v>60</v>
      </c>
    </row>
    <row r="9" spans="1:26" x14ac:dyDescent="0.25">
      <c r="A9" t="s">
        <v>9</v>
      </c>
      <c r="B9">
        <v>180601</v>
      </c>
      <c r="C9" t="s">
        <v>179</v>
      </c>
      <c r="D9" t="s">
        <v>163</v>
      </c>
      <c r="E9">
        <v>12</v>
      </c>
      <c r="G9" s="4">
        <v>180840</v>
      </c>
      <c r="I9" s="4" t="s">
        <v>204</v>
      </c>
      <c r="J9" s="7">
        <v>12</v>
      </c>
      <c r="L9">
        <v>180611</v>
      </c>
      <c r="M9" t="s">
        <v>195</v>
      </c>
      <c r="N9" t="s">
        <v>164</v>
      </c>
      <c r="O9">
        <v>26</v>
      </c>
      <c r="Q9" s="4">
        <v>180840</v>
      </c>
      <c r="S9" s="4" t="s">
        <v>204</v>
      </c>
      <c r="T9" s="7">
        <v>26</v>
      </c>
      <c r="V9">
        <v>180612</v>
      </c>
      <c r="W9" t="s">
        <v>170</v>
      </c>
      <c r="X9" t="s">
        <v>165</v>
      </c>
      <c r="Y9">
        <v>60</v>
      </c>
    </row>
    <row r="10" spans="1:26" x14ac:dyDescent="0.25">
      <c r="A10" t="s">
        <v>10</v>
      </c>
      <c r="B10">
        <v>180601</v>
      </c>
      <c r="C10" t="s">
        <v>179</v>
      </c>
      <c r="D10" t="s">
        <v>163</v>
      </c>
      <c r="E10">
        <v>12</v>
      </c>
      <c r="G10" s="4">
        <v>180840</v>
      </c>
      <c r="I10" s="4" t="s">
        <v>204</v>
      </c>
      <c r="J10" s="7">
        <v>12</v>
      </c>
      <c r="L10">
        <v>180611</v>
      </c>
      <c r="M10" t="s">
        <v>195</v>
      </c>
      <c r="N10" t="s">
        <v>164</v>
      </c>
      <c r="O10">
        <v>26</v>
      </c>
      <c r="Q10" s="4">
        <v>180840</v>
      </c>
      <c r="S10" s="4" t="s">
        <v>204</v>
      </c>
      <c r="T10" s="7">
        <v>26</v>
      </c>
      <c r="V10">
        <v>180612</v>
      </c>
      <c r="W10" t="s">
        <v>170</v>
      </c>
      <c r="X10" t="s">
        <v>165</v>
      </c>
      <c r="Y10">
        <v>60</v>
      </c>
    </row>
    <row r="11" spans="1:26" x14ac:dyDescent="0.25">
      <c r="A11" t="s">
        <v>11</v>
      </c>
      <c r="B11">
        <v>180601</v>
      </c>
      <c r="C11" t="s">
        <v>180</v>
      </c>
      <c r="D11" t="s">
        <v>163</v>
      </c>
      <c r="E11">
        <v>12</v>
      </c>
      <c r="G11" s="4">
        <v>180840</v>
      </c>
      <c r="I11" s="4" t="s">
        <v>204</v>
      </c>
      <c r="J11" s="7">
        <v>12</v>
      </c>
      <c r="L11">
        <v>180611</v>
      </c>
      <c r="M11" t="s">
        <v>196</v>
      </c>
      <c r="N11" t="s">
        <v>164</v>
      </c>
      <c r="O11">
        <v>26</v>
      </c>
      <c r="Q11" s="4">
        <v>180840</v>
      </c>
      <c r="S11" s="4" t="s">
        <v>204</v>
      </c>
      <c r="T11" s="7">
        <v>26</v>
      </c>
      <c r="V11">
        <v>180612</v>
      </c>
      <c r="W11" t="s">
        <v>170</v>
      </c>
      <c r="X11" t="s">
        <v>165</v>
      </c>
      <c r="Y11">
        <v>60</v>
      </c>
    </row>
    <row r="12" spans="1:26" x14ac:dyDescent="0.25">
      <c r="A12" t="s">
        <v>12</v>
      </c>
      <c r="B12">
        <v>180601</v>
      </c>
      <c r="C12" t="s">
        <v>180</v>
      </c>
      <c r="D12" t="s">
        <v>163</v>
      </c>
      <c r="E12">
        <v>12</v>
      </c>
      <c r="G12" s="4">
        <v>180840</v>
      </c>
      <c r="I12" s="4" t="s">
        <v>204</v>
      </c>
      <c r="J12" s="7">
        <v>12</v>
      </c>
      <c r="L12">
        <v>180611</v>
      </c>
      <c r="M12" t="s">
        <v>196</v>
      </c>
      <c r="N12" t="s">
        <v>164</v>
      </c>
      <c r="O12">
        <v>26</v>
      </c>
      <c r="Q12" s="4">
        <v>180840</v>
      </c>
      <c r="S12" s="4" t="s">
        <v>204</v>
      </c>
      <c r="T12" s="7">
        <v>26</v>
      </c>
      <c r="V12">
        <v>180612</v>
      </c>
      <c r="W12" t="s">
        <v>170</v>
      </c>
      <c r="X12" t="s">
        <v>165</v>
      </c>
      <c r="Y12">
        <v>60</v>
      </c>
    </row>
    <row r="13" spans="1:26" x14ac:dyDescent="0.25">
      <c r="A13" t="s">
        <v>13</v>
      </c>
      <c r="B13">
        <v>180601</v>
      </c>
      <c r="C13" t="s">
        <v>180</v>
      </c>
      <c r="D13" t="s">
        <v>163</v>
      </c>
      <c r="E13">
        <v>12</v>
      </c>
      <c r="G13" s="4">
        <v>180840</v>
      </c>
      <c r="I13" s="4" t="s">
        <v>204</v>
      </c>
      <c r="J13" s="7">
        <v>12</v>
      </c>
      <c r="L13">
        <v>180611</v>
      </c>
      <c r="M13" t="s">
        <v>196</v>
      </c>
      <c r="N13" t="s">
        <v>164</v>
      </c>
      <c r="O13">
        <v>26</v>
      </c>
      <c r="Q13" s="4">
        <v>180840</v>
      </c>
      <c r="S13" s="4" t="s">
        <v>204</v>
      </c>
      <c r="T13" s="7">
        <v>26</v>
      </c>
      <c r="V13">
        <v>180612</v>
      </c>
      <c r="W13" t="s">
        <v>170</v>
      </c>
      <c r="X13" t="s">
        <v>165</v>
      </c>
      <c r="Y13">
        <v>60</v>
      </c>
    </row>
    <row r="14" spans="1:26" x14ac:dyDescent="0.25">
      <c r="A14" t="s">
        <v>14</v>
      </c>
      <c r="B14">
        <v>180601</v>
      </c>
      <c r="C14" t="s">
        <v>180</v>
      </c>
      <c r="D14" t="s">
        <v>163</v>
      </c>
      <c r="E14">
        <v>12</v>
      </c>
      <c r="G14" s="4">
        <v>180840</v>
      </c>
      <c r="I14" s="4" t="s">
        <v>204</v>
      </c>
      <c r="J14" s="7">
        <v>12</v>
      </c>
      <c r="L14">
        <v>180611</v>
      </c>
      <c r="M14" t="s">
        <v>196</v>
      </c>
      <c r="N14" t="s">
        <v>164</v>
      </c>
      <c r="O14">
        <v>26</v>
      </c>
      <c r="Q14" s="4">
        <v>180840</v>
      </c>
      <c r="S14" s="4" t="s">
        <v>204</v>
      </c>
      <c r="T14" s="7">
        <v>26</v>
      </c>
      <c r="V14">
        <v>180612</v>
      </c>
      <c r="W14" t="s">
        <v>170</v>
      </c>
      <c r="X14" t="s">
        <v>165</v>
      </c>
      <c r="Y14">
        <v>60</v>
      </c>
    </row>
    <row r="15" spans="1:26" x14ac:dyDescent="0.25">
      <c r="A15" t="s">
        <v>15</v>
      </c>
      <c r="B15">
        <v>180601</v>
      </c>
      <c r="C15" t="s">
        <v>186</v>
      </c>
      <c r="D15" t="s">
        <v>163</v>
      </c>
      <c r="E15">
        <v>30</v>
      </c>
      <c r="G15" s="4">
        <v>180840</v>
      </c>
      <c r="I15" s="4" t="s">
        <v>204</v>
      </c>
      <c r="J15" s="7">
        <v>30</v>
      </c>
      <c r="L15">
        <v>180611</v>
      </c>
      <c r="M15" t="s">
        <v>197</v>
      </c>
      <c r="N15" t="s">
        <v>164</v>
      </c>
      <c r="O15">
        <v>45</v>
      </c>
      <c r="Q15" s="4">
        <v>180840</v>
      </c>
      <c r="S15" s="4" t="s">
        <v>204</v>
      </c>
      <c r="T15" s="7">
        <v>45</v>
      </c>
      <c r="V15">
        <v>180612</v>
      </c>
      <c r="W15" t="s">
        <v>170</v>
      </c>
      <c r="X15" t="s">
        <v>165</v>
      </c>
      <c r="Y15">
        <v>60</v>
      </c>
    </row>
    <row r="16" spans="1:26" x14ac:dyDescent="0.25">
      <c r="A16" t="s">
        <v>16</v>
      </c>
      <c r="B16">
        <v>180601</v>
      </c>
      <c r="C16" t="s">
        <v>186</v>
      </c>
      <c r="D16" t="s">
        <v>163</v>
      </c>
      <c r="E16">
        <v>30</v>
      </c>
      <c r="G16" s="4">
        <v>180840</v>
      </c>
      <c r="I16" s="4" t="s">
        <v>204</v>
      </c>
      <c r="J16" s="7">
        <v>30</v>
      </c>
      <c r="L16">
        <v>180611</v>
      </c>
      <c r="M16" t="s">
        <v>197</v>
      </c>
      <c r="N16" t="s">
        <v>164</v>
      </c>
      <c r="O16">
        <v>45</v>
      </c>
      <c r="Q16" s="4">
        <v>180840</v>
      </c>
      <c r="S16" s="4" t="s">
        <v>204</v>
      </c>
      <c r="T16" s="7">
        <v>45</v>
      </c>
      <c r="V16">
        <v>180612</v>
      </c>
      <c r="W16" t="s">
        <v>170</v>
      </c>
      <c r="X16" t="s">
        <v>165</v>
      </c>
      <c r="Y16">
        <v>60</v>
      </c>
    </row>
    <row r="17" spans="1:25" x14ac:dyDescent="0.25">
      <c r="A17" t="s">
        <v>17</v>
      </c>
      <c r="B17">
        <v>180601</v>
      </c>
      <c r="C17" t="s">
        <v>186</v>
      </c>
      <c r="D17" t="s">
        <v>163</v>
      </c>
      <c r="E17">
        <v>30</v>
      </c>
      <c r="G17" s="4">
        <v>180820</v>
      </c>
      <c r="I17" s="4" t="s">
        <v>203</v>
      </c>
      <c r="J17" s="7">
        <v>30</v>
      </c>
      <c r="L17">
        <v>180611</v>
      </c>
      <c r="M17" t="s">
        <v>197</v>
      </c>
      <c r="N17" t="s">
        <v>164</v>
      </c>
      <c r="O17">
        <v>45</v>
      </c>
      <c r="Q17" s="4">
        <v>180820</v>
      </c>
      <c r="S17" s="4" t="s">
        <v>203</v>
      </c>
      <c r="T17" s="7">
        <v>45</v>
      </c>
      <c r="V17">
        <v>180612</v>
      </c>
      <c r="W17" t="s">
        <v>171</v>
      </c>
      <c r="X17" t="s">
        <v>165</v>
      </c>
      <c r="Y17">
        <v>60</v>
      </c>
    </row>
    <row r="18" spans="1:25" x14ac:dyDescent="0.25">
      <c r="A18" t="s">
        <v>18</v>
      </c>
      <c r="B18">
        <v>180601</v>
      </c>
      <c r="C18" t="s">
        <v>181</v>
      </c>
      <c r="D18" t="s">
        <v>163</v>
      </c>
      <c r="E18">
        <v>12</v>
      </c>
      <c r="G18" s="4">
        <v>180820</v>
      </c>
      <c r="I18" s="4" t="s">
        <v>203</v>
      </c>
      <c r="J18" s="7">
        <v>12</v>
      </c>
      <c r="L18">
        <v>180611</v>
      </c>
      <c r="M18" t="s">
        <v>198</v>
      </c>
      <c r="N18" t="s">
        <v>164</v>
      </c>
      <c r="O18">
        <v>26</v>
      </c>
      <c r="Q18" s="4">
        <v>180820</v>
      </c>
      <c r="S18" s="4" t="s">
        <v>203</v>
      </c>
      <c r="T18" s="7">
        <v>26</v>
      </c>
      <c r="V18">
        <v>180612</v>
      </c>
      <c r="W18" t="s">
        <v>171</v>
      </c>
      <c r="X18" t="s">
        <v>165</v>
      </c>
      <c r="Y18">
        <v>60</v>
      </c>
    </row>
    <row r="19" spans="1:25" x14ac:dyDescent="0.25">
      <c r="A19" t="s">
        <v>19</v>
      </c>
      <c r="B19">
        <v>180601</v>
      </c>
      <c r="C19" t="s">
        <v>181</v>
      </c>
      <c r="D19" t="s">
        <v>163</v>
      </c>
      <c r="E19">
        <v>12</v>
      </c>
      <c r="G19" s="4">
        <v>180820</v>
      </c>
      <c r="I19" s="4" t="s">
        <v>203</v>
      </c>
      <c r="J19" s="7">
        <v>12</v>
      </c>
      <c r="L19">
        <v>180611</v>
      </c>
      <c r="M19" t="s">
        <v>198</v>
      </c>
      <c r="N19" t="s">
        <v>164</v>
      </c>
      <c r="O19">
        <v>26</v>
      </c>
      <c r="Q19" s="4">
        <v>180820</v>
      </c>
      <c r="S19" s="4" t="s">
        <v>203</v>
      </c>
      <c r="T19" s="7">
        <v>26</v>
      </c>
      <c r="V19">
        <v>180612</v>
      </c>
      <c r="W19" t="s">
        <v>171</v>
      </c>
      <c r="X19" t="s">
        <v>165</v>
      </c>
      <c r="Y19">
        <v>60</v>
      </c>
    </row>
    <row r="20" spans="1:25" x14ac:dyDescent="0.25">
      <c r="A20" t="s">
        <v>20</v>
      </c>
      <c r="B20">
        <v>180601</v>
      </c>
      <c r="C20" t="s">
        <v>179</v>
      </c>
      <c r="D20" t="s">
        <v>163</v>
      </c>
      <c r="E20">
        <v>12</v>
      </c>
      <c r="G20" s="4">
        <v>180820</v>
      </c>
      <c r="I20" s="4" t="s">
        <v>203</v>
      </c>
      <c r="J20" s="7">
        <v>12</v>
      </c>
      <c r="L20">
        <v>180611</v>
      </c>
      <c r="M20" t="s">
        <v>195</v>
      </c>
      <c r="N20" t="s">
        <v>164</v>
      </c>
      <c r="O20">
        <v>26</v>
      </c>
      <c r="Q20" s="4">
        <v>180820</v>
      </c>
      <c r="S20" s="4" t="s">
        <v>203</v>
      </c>
      <c r="T20" s="7">
        <v>26</v>
      </c>
      <c r="V20">
        <v>180612</v>
      </c>
      <c r="W20" t="s">
        <v>171</v>
      </c>
      <c r="X20" t="s">
        <v>165</v>
      </c>
      <c r="Y20">
        <v>60</v>
      </c>
    </row>
    <row r="21" spans="1:25" x14ac:dyDescent="0.25">
      <c r="A21" t="s">
        <v>21</v>
      </c>
      <c r="B21">
        <v>180601</v>
      </c>
      <c r="C21" t="s">
        <v>179</v>
      </c>
      <c r="D21" t="s">
        <v>163</v>
      </c>
      <c r="E21">
        <v>12</v>
      </c>
      <c r="G21" s="4">
        <v>180830</v>
      </c>
      <c r="I21" s="4" t="s">
        <v>205</v>
      </c>
      <c r="J21" s="7">
        <v>12</v>
      </c>
      <c r="L21">
        <v>180611</v>
      </c>
      <c r="M21" t="s">
        <v>195</v>
      </c>
      <c r="N21" t="s">
        <v>164</v>
      </c>
      <c r="O21">
        <v>26</v>
      </c>
      <c r="Q21" s="4">
        <v>180830</v>
      </c>
      <c r="S21" s="4" t="s">
        <v>205</v>
      </c>
      <c r="T21" s="7">
        <v>26</v>
      </c>
      <c r="V21">
        <v>180612</v>
      </c>
      <c r="W21" t="s">
        <v>172</v>
      </c>
      <c r="X21" t="s">
        <v>165</v>
      </c>
      <c r="Y21">
        <v>60</v>
      </c>
    </row>
    <row r="22" spans="1:25" x14ac:dyDescent="0.25">
      <c r="A22" t="s">
        <v>22</v>
      </c>
      <c r="B22">
        <v>180601</v>
      </c>
      <c r="C22" t="s">
        <v>179</v>
      </c>
      <c r="D22" t="s">
        <v>163</v>
      </c>
      <c r="E22">
        <v>12</v>
      </c>
      <c r="G22" s="4">
        <v>180830</v>
      </c>
      <c r="I22" s="4" t="s">
        <v>205</v>
      </c>
      <c r="J22" s="7">
        <v>12</v>
      </c>
      <c r="L22">
        <v>180611</v>
      </c>
      <c r="M22" t="s">
        <v>195</v>
      </c>
      <c r="N22" t="s">
        <v>164</v>
      </c>
      <c r="O22">
        <v>26</v>
      </c>
      <c r="Q22" s="4">
        <v>180830</v>
      </c>
      <c r="S22" s="4" t="s">
        <v>205</v>
      </c>
      <c r="T22" s="7">
        <v>26</v>
      </c>
      <c r="V22">
        <v>180612</v>
      </c>
      <c r="W22" t="s">
        <v>172</v>
      </c>
      <c r="X22" t="s">
        <v>165</v>
      </c>
      <c r="Y22">
        <v>60</v>
      </c>
    </row>
    <row r="23" spans="1:25" x14ac:dyDescent="0.25">
      <c r="A23" t="s">
        <v>23</v>
      </c>
      <c r="B23">
        <v>180601</v>
      </c>
      <c r="C23" t="s">
        <v>179</v>
      </c>
      <c r="D23" t="s">
        <v>163</v>
      </c>
      <c r="E23">
        <v>12</v>
      </c>
      <c r="G23" s="4">
        <v>180830</v>
      </c>
      <c r="I23" s="4" t="s">
        <v>205</v>
      </c>
      <c r="J23" s="7">
        <v>12</v>
      </c>
      <c r="L23">
        <v>180611</v>
      </c>
      <c r="M23" t="s">
        <v>195</v>
      </c>
      <c r="N23" t="s">
        <v>164</v>
      </c>
      <c r="O23">
        <v>26</v>
      </c>
      <c r="Q23" s="4">
        <v>180830</v>
      </c>
      <c r="S23" s="4" t="s">
        <v>205</v>
      </c>
      <c r="T23" s="7">
        <v>26</v>
      </c>
      <c r="V23">
        <v>180612</v>
      </c>
      <c r="W23" t="s">
        <v>172</v>
      </c>
      <c r="X23" t="s">
        <v>165</v>
      </c>
      <c r="Y23">
        <v>60</v>
      </c>
    </row>
    <row r="24" spans="1:25" x14ac:dyDescent="0.25">
      <c r="A24" t="s">
        <v>24</v>
      </c>
      <c r="B24">
        <v>180601</v>
      </c>
      <c r="C24" t="s">
        <v>179</v>
      </c>
      <c r="D24" t="s">
        <v>163</v>
      </c>
      <c r="E24">
        <v>12</v>
      </c>
      <c r="G24" s="4">
        <v>180830</v>
      </c>
      <c r="I24" s="4" t="s">
        <v>205</v>
      </c>
      <c r="J24" s="7">
        <v>12</v>
      </c>
      <c r="L24">
        <v>180611</v>
      </c>
      <c r="M24" t="s">
        <v>195</v>
      </c>
      <c r="N24" t="s">
        <v>164</v>
      </c>
      <c r="O24">
        <v>26</v>
      </c>
      <c r="Q24" s="4">
        <v>180830</v>
      </c>
      <c r="S24" s="4" t="s">
        <v>205</v>
      </c>
      <c r="T24" s="7">
        <v>26</v>
      </c>
      <c r="V24">
        <v>180612</v>
      </c>
      <c r="W24" t="s">
        <v>172</v>
      </c>
      <c r="X24" t="s">
        <v>165</v>
      </c>
      <c r="Y24">
        <v>60</v>
      </c>
    </row>
    <row r="25" spans="1:25" x14ac:dyDescent="0.25">
      <c r="A25" t="s">
        <v>25</v>
      </c>
      <c r="B25">
        <v>180601</v>
      </c>
      <c r="C25" t="s">
        <v>179</v>
      </c>
      <c r="D25" t="s">
        <v>163</v>
      </c>
      <c r="E25">
        <v>12</v>
      </c>
      <c r="G25" s="4">
        <v>180840</v>
      </c>
      <c r="I25" s="4" t="s">
        <v>204</v>
      </c>
      <c r="J25" s="7">
        <v>12</v>
      </c>
      <c r="L25">
        <v>180611</v>
      </c>
      <c r="M25" t="s">
        <v>195</v>
      </c>
      <c r="N25" t="s">
        <v>164</v>
      </c>
      <c r="O25">
        <v>26</v>
      </c>
      <c r="Q25" s="4">
        <v>180840</v>
      </c>
      <c r="S25" s="4" t="s">
        <v>204</v>
      </c>
      <c r="T25" s="7">
        <v>26</v>
      </c>
      <c r="V25">
        <v>180612</v>
      </c>
      <c r="W25" t="s">
        <v>170</v>
      </c>
      <c r="X25" t="s">
        <v>165</v>
      </c>
      <c r="Y25">
        <v>60</v>
      </c>
    </row>
    <row r="26" spans="1:25" x14ac:dyDescent="0.25">
      <c r="A26" t="s">
        <v>26</v>
      </c>
      <c r="B26">
        <v>180601</v>
      </c>
      <c r="C26" t="s">
        <v>179</v>
      </c>
      <c r="D26" t="s">
        <v>163</v>
      </c>
      <c r="E26">
        <v>12</v>
      </c>
      <c r="G26" s="4">
        <v>180840</v>
      </c>
      <c r="I26" s="4" t="s">
        <v>204</v>
      </c>
      <c r="J26" s="7">
        <v>12</v>
      </c>
      <c r="L26">
        <v>180611</v>
      </c>
      <c r="M26" t="s">
        <v>195</v>
      </c>
      <c r="N26" t="s">
        <v>164</v>
      </c>
      <c r="O26">
        <v>26</v>
      </c>
      <c r="Q26" s="4">
        <v>180840</v>
      </c>
      <c r="S26" s="4" t="s">
        <v>204</v>
      </c>
      <c r="T26" s="7">
        <v>26</v>
      </c>
      <c r="V26">
        <v>180612</v>
      </c>
      <c r="W26" t="s">
        <v>170</v>
      </c>
      <c r="X26" t="s">
        <v>165</v>
      </c>
      <c r="Y26">
        <v>60</v>
      </c>
    </row>
    <row r="27" spans="1:25" x14ac:dyDescent="0.25">
      <c r="A27" t="s">
        <v>27</v>
      </c>
      <c r="B27">
        <v>180601</v>
      </c>
      <c r="C27" t="s">
        <v>179</v>
      </c>
      <c r="D27" t="s">
        <v>163</v>
      </c>
      <c r="E27">
        <v>12</v>
      </c>
      <c r="G27" s="4">
        <v>180840</v>
      </c>
      <c r="I27" s="4" t="s">
        <v>204</v>
      </c>
      <c r="J27" s="7">
        <v>12</v>
      </c>
      <c r="L27">
        <v>180611</v>
      </c>
      <c r="M27" t="s">
        <v>195</v>
      </c>
      <c r="N27" t="s">
        <v>164</v>
      </c>
      <c r="O27">
        <v>26</v>
      </c>
      <c r="Q27" s="4">
        <v>180840</v>
      </c>
      <c r="S27" s="4" t="s">
        <v>204</v>
      </c>
      <c r="T27" s="7">
        <v>26</v>
      </c>
      <c r="V27">
        <v>180612</v>
      </c>
      <c r="W27" t="s">
        <v>170</v>
      </c>
      <c r="X27" t="s">
        <v>165</v>
      </c>
      <c r="Y27">
        <v>60</v>
      </c>
    </row>
    <row r="28" spans="1:25" x14ac:dyDescent="0.25">
      <c r="A28" t="s">
        <v>28</v>
      </c>
      <c r="B28">
        <v>180601</v>
      </c>
      <c r="C28" t="s">
        <v>179</v>
      </c>
      <c r="D28" t="s">
        <v>163</v>
      </c>
      <c r="E28">
        <v>12</v>
      </c>
      <c r="G28" s="4">
        <v>180840</v>
      </c>
      <c r="I28" s="4" t="s">
        <v>204</v>
      </c>
      <c r="J28" s="7">
        <v>12</v>
      </c>
      <c r="L28">
        <v>180611</v>
      </c>
      <c r="M28" t="s">
        <v>195</v>
      </c>
      <c r="N28" t="s">
        <v>164</v>
      </c>
      <c r="O28">
        <v>26</v>
      </c>
      <c r="Q28" s="4">
        <v>180840</v>
      </c>
      <c r="S28" s="4" t="s">
        <v>204</v>
      </c>
      <c r="T28" s="7">
        <v>26</v>
      </c>
      <c r="V28">
        <v>180612</v>
      </c>
      <c r="W28" t="s">
        <v>170</v>
      </c>
      <c r="X28" t="s">
        <v>165</v>
      </c>
      <c r="Y28">
        <v>60</v>
      </c>
    </row>
    <row r="29" spans="1:25" x14ac:dyDescent="0.25">
      <c r="A29" t="s">
        <v>29</v>
      </c>
      <c r="B29">
        <v>180601</v>
      </c>
      <c r="C29" t="s">
        <v>182</v>
      </c>
      <c r="D29" t="s">
        <v>163</v>
      </c>
      <c r="E29">
        <v>12</v>
      </c>
      <c r="G29" s="4">
        <v>180850</v>
      </c>
      <c r="I29" s="4" t="s">
        <v>206</v>
      </c>
      <c r="J29" s="7">
        <v>12</v>
      </c>
      <c r="L29">
        <v>180611</v>
      </c>
      <c r="M29" t="s">
        <v>199</v>
      </c>
      <c r="N29" t="s">
        <v>164</v>
      </c>
      <c r="O29">
        <v>26</v>
      </c>
      <c r="Q29" s="4">
        <v>180850</v>
      </c>
      <c r="S29" s="4" t="s">
        <v>206</v>
      </c>
      <c r="T29" s="7">
        <v>26</v>
      </c>
      <c r="V29">
        <v>180612</v>
      </c>
      <c r="W29" t="s">
        <v>173</v>
      </c>
      <c r="X29" t="s">
        <v>165</v>
      </c>
      <c r="Y29">
        <v>60</v>
      </c>
    </row>
    <row r="30" spans="1:25" x14ac:dyDescent="0.25">
      <c r="A30" t="s">
        <v>30</v>
      </c>
      <c r="B30">
        <v>180601</v>
      </c>
      <c r="C30" t="s">
        <v>182</v>
      </c>
      <c r="D30" t="s">
        <v>163</v>
      </c>
      <c r="E30">
        <v>12</v>
      </c>
      <c r="G30" s="4">
        <v>180850</v>
      </c>
      <c r="I30" s="4" t="s">
        <v>206</v>
      </c>
      <c r="J30" s="7">
        <v>12</v>
      </c>
      <c r="L30">
        <v>180611</v>
      </c>
      <c r="M30" t="s">
        <v>199</v>
      </c>
      <c r="N30" t="s">
        <v>164</v>
      </c>
      <c r="O30">
        <v>26</v>
      </c>
      <c r="Q30" s="4">
        <v>180850</v>
      </c>
      <c r="S30" s="4" t="s">
        <v>206</v>
      </c>
      <c r="T30" s="7">
        <v>26</v>
      </c>
      <c r="V30">
        <v>180612</v>
      </c>
      <c r="W30" t="s">
        <v>173</v>
      </c>
      <c r="X30" t="s">
        <v>165</v>
      </c>
      <c r="Y30">
        <v>60</v>
      </c>
    </row>
    <row r="31" spans="1:25" x14ac:dyDescent="0.25">
      <c r="A31" t="s">
        <v>31</v>
      </c>
      <c r="B31">
        <v>180601</v>
      </c>
      <c r="C31" t="s">
        <v>187</v>
      </c>
      <c r="D31" t="s">
        <v>163</v>
      </c>
      <c r="E31">
        <v>30</v>
      </c>
      <c r="G31" s="4">
        <v>180820</v>
      </c>
      <c r="I31" s="4" t="s">
        <v>203</v>
      </c>
      <c r="J31" s="7">
        <v>30</v>
      </c>
      <c r="L31">
        <v>180611</v>
      </c>
      <c r="M31" t="s">
        <v>200</v>
      </c>
      <c r="N31" t="s">
        <v>164</v>
      </c>
      <c r="O31">
        <v>45</v>
      </c>
      <c r="Q31" s="4">
        <v>180820</v>
      </c>
      <c r="S31" s="4" t="s">
        <v>203</v>
      </c>
      <c r="T31" s="7">
        <v>45</v>
      </c>
      <c r="V31">
        <v>180612</v>
      </c>
      <c r="W31" t="s">
        <v>171</v>
      </c>
      <c r="X31" t="s">
        <v>165</v>
      </c>
      <c r="Y31">
        <v>60</v>
      </c>
    </row>
    <row r="32" spans="1:25" x14ac:dyDescent="0.25">
      <c r="A32" t="s">
        <v>32</v>
      </c>
      <c r="B32">
        <v>180601</v>
      </c>
      <c r="C32" t="s">
        <v>183</v>
      </c>
      <c r="D32" t="s">
        <v>163</v>
      </c>
      <c r="E32">
        <v>12</v>
      </c>
      <c r="G32" s="4">
        <v>180820</v>
      </c>
      <c r="I32" s="4" t="s">
        <v>203</v>
      </c>
      <c r="J32" s="7">
        <v>12</v>
      </c>
      <c r="L32">
        <v>180611</v>
      </c>
      <c r="M32" t="s">
        <v>201</v>
      </c>
      <c r="N32" t="s">
        <v>164</v>
      </c>
      <c r="O32">
        <v>26</v>
      </c>
      <c r="Q32" s="4">
        <v>180820</v>
      </c>
      <c r="S32" s="4" t="s">
        <v>203</v>
      </c>
      <c r="T32" s="7">
        <v>26</v>
      </c>
      <c r="V32">
        <v>180612</v>
      </c>
      <c r="W32" t="s">
        <v>171</v>
      </c>
      <c r="X32" t="s">
        <v>165</v>
      </c>
      <c r="Y32">
        <v>60</v>
      </c>
    </row>
    <row r="33" spans="1:25" x14ac:dyDescent="0.25">
      <c r="A33" t="s">
        <v>33</v>
      </c>
      <c r="B33">
        <v>180601</v>
      </c>
      <c r="C33" t="s">
        <v>179</v>
      </c>
      <c r="D33" t="s">
        <v>163</v>
      </c>
      <c r="E33">
        <v>12</v>
      </c>
      <c r="G33" s="4">
        <v>180840</v>
      </c>
      <c r="I33" s="4" t="s">
        <v>204</v>
      </c>
      <c r="J33" s="7">
        <v>12</v>
      </c>
      <c r="L33">
        <v>180611</v>
      </c>
      <c r="M33" t="s">
        <v>195</v>
      </c>
      <c r="N33" t="s">
        <v>164</v>
      </c>
      <c r="O33">
        <v>26</v>
      </c>
      <c r="Q33" s="4">
        <v>180840</v>
      </c>
      <c r="S33" s="4" t="s">
        <v>204</v>
      </c>
      <c r="T33" s="7">
        <v>26</v>
      </c>
      <c r="V33">
        <v>180612</v>
      </c>
      <c r="W33" t="s">
        <v>170</v>
      </c>
      <c r="X33" t="s">
        <v>165</v>
      </c>
      <c r="Y33">
        <v>60</v>
      </c>
    </row>
    <row r="34" spans="1:25" x14ac:dyDescent="0.25">
      <c r="A34" t="s">
        <v>34</v>
      </c>
      <c r="B34">
        <v>180601</v>
      </c>
      <c r="C34" t="s">
        <v>179</v>
      </c>
      <c r="D34" t="s">
        <v>163</v>
      </c>
      <c r="E34">
        <v>12</v>
      </c>
      <c r="G34" s="4">
        <v>180840</v>
      </c>
      <c r="I34" s="4" t="s">
        <v>204</v>
      </c>
      <c r="J34" s="7">
        <v>12</v>
      </c>
      <c r="L34">
        <v>180611</v>
      </c>
      <c r="M34" t="s">
        <v>195</v>
      </c>
      <c r="N34" t="s">
        <v>164</v>
      </c>
      <c r="O34">
        <v>26</v>
      </c>
      <c r="Q34" s="4">
        <v>180840</v>
      </c>
      <c r="S34" s="4" t="s">
        <v>204</v>
      </c>
      <c r="T34" s="7">
        <v>26</v>
      </c>
      <c r="V34">
        <v>180612</v>
      </c>
      <c r="W34" t="s">
        <v>170</v>
      </c>
      <c r="X34" t="s">
        <v>165</v>
      </c>
      <c r="Y34">
        <v>60</v>
      </c>
    </row>
    <row r="35" spans="1:25" x14ac:dyDescent="0.25">
      <c r="A35" t="s">
        <v>35</v>
      </c>
      <c r="B35">
        <v>180601</v>
      </c>
      <c r="C35" t="s">
        <v>181</v>
      </c>
      <c r="D35" t="s">
        <v>163</v>
      </c>
      <c r="E35">
        <v>12</v>
      </c>
      <c r="G35" s="4">
        <v>180840</v>
      </c>
      <c r="I35" s="4" t="s">
        <v>204</v>
      </c>
      <c r="J35" s="7">
        <v>12</v>
      </c>
      <c r="L35">
        <v>180611</v>
      </c>
      <c r="M35" t="s">
        <v>198</v>
      </c>
      <c r="N35" t="s">
        <v>164</v>
      </c>
      <c r="O35">
        <v>26</v>
      </c>
      <c r="Q35" s="4">
        <v>180840</v>
      </c>
      <c r="S35" s="4" t="s">
        <v>204</v>
      </c>
      <c r="T35" s="7">
        <v>26</v>
      </c>
      <c r="V35">
        <v>180612</v>
      </c>
      <c r="W35" t="s">
        <v>170</v>
      </c>
      <c r="X35" t="s">
        <v>165</v>
      </c>
      <c r="Y35">
        <v>60</v>
      </c>
    </row>
    <row r="36" spans="1:25" x14ac:dyDescent="0.25">
      <c r="A36" t="s">
        <v>36</v>
      </c>
      <c r="B36">
        <v>180601</v>
      </c>
      <c r="C36" t="s">
        <v>179</v>
      </c>
      <c r="D36" t="s">
        <v>163</v>
      </c>
      <c r="E36">
        <v>12</v>
      </c>
      <c r="G36" s="4">
        <v>180840</v>
      </c>
      <c r="I36" s="4" t="s">
        <v>204</v>
      </c>
      <c r="J36" s="7">
        <v>12</v>
      </c>
      <c r="L36">
        <v>180611</v>
      </c>
      <c r="M36" t="s">
        <v>195</v>
      </c>
      <c r="N36" t="s">
        <v>164</v>
      </c>
      <c r="O36">
        <v>26</v>
      </c>
      <c r="Q36" s="4">
        <v>180840</v>
      </c>
      <c r="S36" s="4" t="s">
        <v>204</v>
      </c>
      <c r="T36" s="7">
        <v>26</v>
      </c>
      <c r="V36">
        <v>180612</v>
      </c>
      <c r="W36" t="s">
        <v>170</v>
      </c>
      <c r="X36" t="s">
        <v>165</v>
      </c>
      <c r="Y36">
        <v>60</v>
      </c>
    </row>
  </sheetData>
  <mergeCells count="5">
    <mergeCell ref="V2:Z2"/>
    <mergeCell ref="B1:F1"/>
    <mergeCell ref="L1:P1"/>
    <mergeCell ref="B2:F2"/>
    <mergeCell ref="L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Z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7" sqref="F4:F37"/>
    </sheetView>
  </sheetViews>
  <sheetFormatPr defaultRowHeight="15" x14ac:dyDescent="0.25"/>
  <cols>
    <col min="1" max="1" width="35.7109375" bestFit="1" customWidth="1"/>
    <col min="7" max="10" width="9.140625" style="4"/>
    <col min="11" max="11" width="9.140625" style="3"/>
    <col min="17" max="20" width="9.140625" style="4"/>
    <col min="21" max="21" width="9.140625" style="3"/>
  </cols>
  <sheetData>
    <row r="1" spans="1:26" x14ac:dyDescent="0.25">
      <c r="B1" s="234" t="s">
        <v>161</v>
      </c>
      <c r="C1" s="234"/>
      <c r="D1" s="234"/>
      <c r="E1" s="234"/>
      <c r="F1" s="234"/>
      <c r="G1" s="6" t="s">
        <v>202</v>
      </c>
      <c r="H1" s="6"/>
      <c r="I1" s="6"/>
      <c r="J1" s="6"/>
      <c r="K1" s="5"/>
      <c r="L1" s="234" t="s">
        <v>162</v>
      </c>
      <c r="M1" s="234"/>
      <c r="N1" s="234"/>
      <c r="O1" s="234"/>
      <c r="P1" s="234"/>
      <c r="Q1" s="6" t="s">
        <v>202</v>
      </c>
      <c r="R1" s="6"/>
      <c r="S1" s="6"/>
      <c r="T1" s="6"/>
      <c r="U1" s="5"/>
      <c r="V1" t="s">
        <v>107</v>
      </c>
    </row>
    <row r="2" spans="1:26" x14ac:dyDescent="0.25">
      <c r="B2" s="234" t="s">
        <v>150</v>
      </c>
      <c r="C2" s="234"/>
      <c r="D2" s="234"/>
      <c r="E2" s="234"/>
      <c r="F2" s="234"/>
      <c r="G2" s="6"/>
      <c r="H2" s="6"/>
      <c r="I2" s="6"/>
      <c r="J2" s="6"/>
      <c r="K2" s="5"/>
      <c r="L2" s="234" t="s">
        <v>150</v>
      </c>
      <c r="M2" s="234"/>
      <c r="N2" s="234"/>
      <c r="O2" s="234"/>
      <c r="P2" s="234"/>
      <c r="Q2" s="6"/>
      <c r="R2" s="6"/>
      <c r="S2" s="6"/>
      <c r="T2" s="6"/>
      <c r="U2" s="5"/>
      <c r="V2" s="234" t="s">
        <v>150</v>
      </c>
      <c r="W2" s="234"/>
      <c r="X2" s="234"/>
      <c r="Y2" s="234"/>
      <c r="Z2" s="234"/>
    </row>
    <row r="3" spans="1:26" x14ac:dyDescent="0.25">
      <c r="A3" t="s">
        <v>3</v>
      </c>
      <c r="B3" t="s">
        <v>101</v>
      </c>
      <c r="C3" t="s">
        <v>102</v>
      </c>
      <c r="D3" t="s">
        <v>103</v>
      </c>
      <c r="E3" t="s">
        <v>104</v>
      </c>
      <c r="F3" t="s">
        <v>105</v>
      </c>
      <c r="G3" t="s">
        <v>101</v>
      </c>
      <c r="H3" t="s">
        <v>102</v>
      </c>
      <c r="I3" t="s">
        <v>103</v>
      </c>
      <c r="J3" t="s">
        <v>104</v>
      </c>
      <c r="K3" t="s">
        <v>105</v>
      </c>
      <c r="L3" t="s">
        <v>101</v>
      </c>
      <c r="M3" t="s">
        <v>102</v>
      </c>
      <c r="N3" t="s">
        <v>103</v>
      </c>
      <c r="O3" t="s">
        <v>104</v>
      </c>
      <c r="P3" t="s">
        <v>105</v>
      </c>
      <c r="Q3" t="s">
        <v>101</v>
      </c>
      <c r="R3" t="s">
        <v>102</v>
      </c>
      <c r="S3" t="s">
        <v>103</v>
      </c>
      <c r="T3" t="s">
        <v>104</v>
      </c>
      <c r="U3" t="s">
        <v>105</v>
      </c>
      <c r="V3" t="s">
        <v>101</v>
      </c>
      <c r="W3" t="s">
        <v>102</v>
      </c>
      <c r="X3" t="s">
        <v>103</v>
      </c>
      <c r="Y3" t="s">
        <v>104</v>
      </c>
      <c r="Z3" t="s">
        <v>105</v>
      </c>
    </row>
    <row r="4" spans="1:26" x14ac:dyDescent="0.25">
      <c r="A4" t="s">
        <v>4</v>
      </c>
      <c r="B4">
        <v>180601</v>
      </c>
      <c r="C4" t="s">
        <v>174</v>
      </c>
      <c r="D4" t="s">
        <v>163</v>
      </c>
      <c r="E4">
        <v>12</v>
      </c>
      <c r="G4" s="4">
        <v>180840</v>
      </c>
      <c r="I4" s="4" t="s">
        <v>204</v>
      </c>
      <c r="J4" s="7">
        <v>12</v>
      </c>
      <c r="L4">
        <v>180611</v>
      </c>
      <c r="M4" t="s">
        <v>188</v>
      </c>
      <c r="N4" t="s">
        <v>164</v>
      </c>
      <c r="O4">
        <v>26</v>
      </c>
      <c r="Q4" s="4">
        <v>180840</v>
      </c>
      <c r="S4" s="4" t="s">
        <v>204</v>
      </c>
      <c r="T4" s="7">
        <v>26</v>
      </c>
      <c r="V4">
        <v>180612</v>
      </c>
      <c r="W4" t="s">
        <v>166</v>
      </c>
      <c r="X4" t="s">
        <v>165</v>
      </c>
      <c r="Y4">
        <v>60</v>
      </c>
    </row>
    <row r="5" spans="1:26" x14ac:dyDescent="0.25">
      <c r="A5" t="s">
        <v>5</v>
      </c>
      <c r="B5">
        <v>180601</v>
      </c>
      <c r="C5" t="s">
        <v>174</v>
      </c>
      <c r="D5" t="s">
        <v>163</v>
      </c>
      <c r="E5">
        <v>12</v>
      </c>
      <c r="G5" s="4">
        <v>180840</v>
      </c>
      <c r="I5" s="4" t="s">
        <v>204</v>
      </c>
      <c r="J5" s="7">
        <v>12</v>
      </c>
      <c r="L5">
        <v>180611</v>
      </c>
      <c r="M5" t="s">
        <v>188</v>
      </c>
      <c r="N5" t="s">
        <v>164</v>
      </c>
      <c r="O5">
        <v>26</v>
      </c>
      <c r="Q5" s="4">
        <v>180840</v>
      </c>
      <c r="S5" s="4" t="s">
        <v>204</v>
      </c>
      <c r="T5" s="7">
        <v>26</v>
      </c>
      <c r="V5">
        <v>180612</v>
      </c>
      <c r="W5" t="s">
        <v>166</v>
      </c>
      <c r="X5" t="s">
        <v>165</v>
      </c>
      <c r="Y5">
        <v>60</v>
      </c>
    </row>
    <row r="6" spans="1:26" x14ac:dyDescent="0.25">
      <c r="A6" t="s">
        <v>6</v>
      </c>
      <c r="B6">
        <v>180601</v>
      </c>
      <c r="C6" t="s">
        <v>174</v>
      </c>
      <c r="D6" t="s">
        <v>163</v>
      </c>
      <c r="E6">
        <v>12</v>
      </c>
      <c r="G6" s="4">
        <v>180840</v>
      </c>
      <c r="I6" s="4" t="s">
        <v>204</v>
      </c>
      <c r="J6" s="7">
        <v>12</v>
      </c>
      <c r="L6">
        <v>180611</v>
      </c>
      <c r="M6" t="s">
        <v>188</v>
      </c>
      <c r="N6" t="s">
        <v>164</v>
      </c>
      <c r="O6">
        <v>26</v>
      </c>
      <c r="Q6" s="4">
        <v>180840</v>
      </c>
      <c r="S6" s="4" t="s">
        <v>204</v>
      </c>
      <c r="T6" s="7">
        <v>26</v>
      </c>
      <c r="V6">
        <v>180612</v>
      </c>
      <c r="W6" t="s">
        <v>166</v>
      </c>
      <c r="X6" t="s">
        <v>165</v>
      </c>
      <c r="Y6">
        <v>60</v>
      </c>
    </row>
    <row r="7" spans="1:26" x14ac:dyDescent="0.25">
      <c r="A7" t="s">
        <v>7</v>
      </c>
      <c r="B7">
        <v>180601</v>
      </c>
      <c r="C7" t="s">
        <v>174</v>
      </c>
      <c r="D7" t="s">
        <v>163</v>
      </c>
      <c r="E7">
        <v>12</v>
      </c>
      <c r="G7" s="4">
        <v>180840</v>
      </c>
      <c r="I7" s="4" t="s">
        <v>204</v>
      </c>
      <c r="J7" s="7">
        <v>12</v>
      </c>
      <c r="L7">
        <v>180611</v>
      </c>
      <c r="M7" t="s">
        <v>188</v>
      </c>
      <c r="N7" t="s">
        <v>164</v>
      </c>
      <c r="O7">
        <v>26</v>
      </c>
      <c r="Q7" s="4">
        <v>180840</v>
      </c>
      <c r="S7" s="4" t="s">
        <v>204</v>
      </c>
      <c r="T7" s="7">
        <v>26</v>
      </c>
      <c r="V7">
        <v>180612</v>
      </c>
      <c r="W7" t="s">
        <v>166</v>
      </c>
      <c r="X7" t="s">
        <v>165</v>
      </c>
      <c r="Y7">
        <v>60</v>
      </c>
    </row>
    <row r="8" spans="1:26" x14ac:dyDescent="0.25">
      <c r="A8" t="s">
        <v>8</v>
      </c>
      <c r="B8">
        <v>180601</v>
      </c>
      <c r="C8" t="s">
        <v>174</v>
      </c>
      <c r="D8" t="s">
        <v>163</v>
      </c>
      <c r="E8">
        <v>12</v>
      </c>
      <c r="G8" s="4">
        <v>180840</v>
      </c>
      <c r="I8" s="4" t="s">
        <v>204</v>
      </c>
      <c r="J8" s="7">
        <v>12</v>
      </c>
      <c r="L8">
        <v>180611</v>
      </c>
      <c r="M8" t="s">
        <v>188</v>
      </c>
      <c r="N8" t="s">
        <v>164</v>
      </c>
      <c r="O8">
        <v>26</v>
      </c>
      <c r="Q8" s="4">
        <v>180840</v>
      </c>
      <c r="S8" s="4" t="s">
        <v>204</v>
      </c>
      <c r="T8" s="7">
        <v>26</v>
      </c>
      <c r="V8">
        <v>180612</v>
      </c>
      <c r="W8" t="s">
        <v>166</v>
      </c>
      <c r="X8" t="s">
        <v>165</v>
      </c>
      <c r="Y8">
        <v>60</v>
      </c>
    </row>
    <row r="9" spans="1:26" x14ac:dyDescent="0.25">
      <c r="A9" t="s">
        <v>9</v>
      </c>
      <c r="B9">
        <v>180601</v>
      </c>
      <c r="C9" t="s">
        <v>174</v>
      </c>
      <c r="D9" t="s">
        <v>163</v>
      </c>
      <c r="E9">
        <v>12</v>
      </c>
      <c r="G9" s="4">
        <v>180840</v>
      </c>
      <c r="I9" s="4" t="s">
        <v>204</v>
      </c>
      <c r="J9" s="7">
        <v>12</v>
      </c>
      <c r="L9">
        <v>180611</v>
      </c>
      <c r="M9" t="s">
        <v>188</v>
      </c>
      <c r="N9" t="s">
        <v>164</v>
      </c>
      <c r="O9">
        <v>26</v>
      </c>
      <c r="Q9" s="4">
        <v>180840</v>
      </c>
      <c r="S9" s="4" t="s">
        <v>204</v>
      </c>
      <c r="T9" s="7">
        <v>26</v>
      </c>
      <c r="V9">
        <v>180612</v>
      </c>
      <c r="W9" t="s">
        <v>166</v>
      </c>
      <c r="X9" t="s">
        <v>165</v>
      </c>
      <c r="Y9">
        <v>60</v>
      </c>
    </row>
    <row r="10" spans="1:26" x14ac:dyDescent="0.25">
      <c r="A10" t="s">
        <v>10</v>
      </c>
      <c r="B10">
        <v>180601</v>
      </c>
      <c r="C10" t="s">
        <v>174</v>
      </c>
      <c r="D10" t="s">
        <v>163</v>
      </c>
      <c r="E10">
        <v>12</v>
      </c>
      <c r="G10" s="4">
        <v>180840</v>
      </c>
      <c r="I10" s="4" t="s">
        <v>204</v>
      </c>
      <c r="J10" s="7">
        <v>12</v>
      </c>
      <c r="L10">
        <v>180611</v>
      </c>
      <c r="M10" t="s">
        <v>188</v>
      </c>
      <c r="N10" t="s">
        <v>164</v>
      </c>
      <c r="O10">
        <v>26</v>
      </c>
      <c r="Q10" s="4">
        <v>180840</v>
      </c>
      <c r="S10" s="4" t="s">
        <v>204</v>
      </c>
      <c r="T10" s="7">
        <v>26</v>
      </c>
      <c r="V10">
        <v>180612</v>
      </c>
      <c r="W10" t="s">
        <v>166</v>
      </c>
      <c r="X10" t="s">
        <v>165</v>
      </c>
      <c r="Y10">
        <v>60</v>
      </c>
    </row>
    <row r="11" spans="1:26" x14ac:dyDescent="0.25">
      <c r="A11" t="s">
        <v>11</v>
      </c>
      <c r="B11">
        <v>180601</v>
      </c>
      <c r="C11" t="s">
        <v>175</v>
      </c>
      <c r="D11" t="s">
        <v>163</v>
      </c>
      <c r="E11">
        <v>12</v>
      </c>
      <c r="G11" s="4">
        <v>180840</v>
      </c>
      <c r="I11" s="4" t="s">
        <v>204</v>
      </c>
      <c r="J11" s="7">
        <v>12</v>
      </c>
      <c r="L11">
        <v>180611</v>
      </c>
      <c r="M11" t="s">
        <v>189</v>
      </c>
      <c r="N11" t="s">
        <v>164</v>
      </c>
      <c r="O11">
        <v>26</v>
      </c>
      <c r="Q11" s="4">
        <v>180840</v>
      </c>
      <c r="S11" s="4" t="s">
        <v>204</v>
      </c>
      <c r="T11" s="7">
        <v>26</v>
      </c>
      <c r="V11">
        <v>180612</v>
      </c>
      <c r="W11" t="s">
        <v>166</v>
      </c>
      <c r="X11" t="s">
        <v>165</v>
      </c>
      <c r="Y11">
        <v>60</v>
      </c>
    </row>
    <row r="12" spans="1:26" x14ac:dyDescent="0.25">
      <c r="A12" t="s">
        <v>12</v>
      </c>
      <c r="B12">
        <v>180601</v>
      </c>
      <c r="C12" t="s">
        <v>175</v>
      </c>
      <c r="D12" t="s">
        <v>163</v>
      </c>
      <c r="E12">
        <v>12</v>
      </c>
      <c r="G12" s="4">
        <v>180840</v>
      </c>
      <c r="I12" s="4" t="s">
        <v>204</v>
      </c>
      <c r="J12" s="7">
        <v>12</v>
      </c>
      <c r="L12">
        <v>180611</v>
      </c>
      <c r="M12" t="s">
        <v>189</v>
      </c>
      <c r="N12" t="s">
        <v>164</v>
      </c>
      <c r="O12">
        <v>26</v>
      </c>
      <c r="Q12" s="4">
        <v>180840</v>
      </c>
      <c r="S12" s="4" t="s">
        <v>204</v>
      </c>
      <c r="T12" s="7">
        <v>26</v>
      </c>
      <c r="V12">
        <v>180612</v>
      </c>
      <c r="W12" t="s">
        <v>166</v>
      </c>
      <c r="X12" t="s">
        <v>165</v>
      </c>
      <c r="Y12">
        <v>60</v>
      </c>
    </row>
    <row r="13" spans="1:26" x14ac:dyDescent="0.25">
      <c r="A13" t="s">
        <v>13</v>
      </c>
      <c r="B13">
        <v>180601</v>
      </c>
      <c r="C13" t="s">
        <v>175</v>
      </c>
      <c r="D13" t="s">
        <v>163</v>
      </c>
      <c r="E13">
        <v>12</v>
      </c>
      <c r="G13" s="4">
        <v>180840</v>
      </c>
      <c r="I13" s="4" t="s">
        <v>204</v>
      </c>
      <c r="J13" s="7">
        <v>12</v>
      </c>
      <c r="L13">
        <v>180611</v>
      </c>
      <c r="M13" t="s">
        <v>189</v>
      </c>
      <c r="N13" t="s">
        <v>164</v>
      </c>
      <c r="O13">
        <v>26</v>
      </c>
      <c r="Q13" s="4">
        <v>180840</v>
      </c>
      <c r="S13" s="4" t="s">
        <v>204</v>
      </c>
      <c r="T13" s="7">
        <v>26</v>
      </c>
      <c r="V13">
        <v>180612</v>
      </c>
      <c r="W13" t="s">
        <v>166</v>
      </c>
      <c r="X13" t="s">
        <v>165</v>
      </c>
      <c r="Y13">
        <v>60</v>
      </c>
    </row>
    <row r="14" spans="1:26" x14ac:dyDescent="0.25">
      <c r="A14" t="s">
        <v>14</v>
      </c>
      <c r="B14">
        <v>180601</v>
      </c>
      <c r="C14" t="s">
        <v>175</v>
      </c>
      <c r="D14" t="s">
        <v>163</v>
      </c>
      <c r="E14">
        <v>12</v>
      </c>
      <c r="G14" s="4">
        <v>180840</v>
      </c>
      <c r="I14" s="4" t="s">
        <v>204</v>
      </c>
      <c r="J14" s="7">
        <v>12</v>
      </c>
      <c r="L14">
        <v>180611</v>
      </c>
      <c r="M14" t="s">
        <v>189</v>
      </c>
      <c r="N14" t="s">
        <v>164</v>
      </c>
      <c r="O14">
        <v>26</v>
      </c>
      <c r="Q14" s="4">
        <v>180840</v>
      </c>
      <c r="S14" s="4" t="s">
        <v>204</v>
      </c>
      <c r="T14" s="7">
        <v>26</v>
      </c>
      <c r="V14">
        <v>180612</v>
      </c>
      <c r="W14" t="s">
        <v>166</v>
      </c>
      <c r="X14" t="s">
        <v>165</v>
      </c>
      <c r="Y14">
        <v>60</v>
      </c>
    </row>
    <row r="15" spans="1:26" x14ac:dyDescent="0.25">
      <c r="A15" t="s">
        <v>15</v>
      </c>
      <c r="B15">
        <v>180601</v>
      </c>
      <c r="C15" t="s">
        <v>184</v>
      </c>
      <c r="D15" t="s">
        <v>163</v>
      </c>
      <c r="E15">
        <v>30</v>
      </c>
      <c r="G15" s="4">
        <v>180840</v>
      </c>
      <c r="I15" s="4" t="s">
        <v>204</v>
      </c>
      <c r="J15" s="7">
        <v>30</v>
      </c>
      <c r="L15">
        <v>180611</v>
      </c>
      <c r="M15" t="s">
        <v>190</v>
      </c>
      <c r="N15" t="s">
        <v>164</v>
      </c>
      <c r="O15">
        <v>45</v>
      </c>
      <c r="Q15" s="4">
        <v>180840</v>
      </c>
      <c r="S15" s="4" t="s">
        <v>204</v>
      </c>
      <c r="T15" s="7">
        <v>45</v>
      </c>
      <c r="V15">
        <v>180612</v>
      </c>
      <c r="W15" t="s">
        <v>166</v>
      </c>
      <c r="X15" t="s">
        <v>165</v>
      </c>
      <c r="Y15">
        <v>60</v>
      </c>
    </row>
    <row r="16" spans="1:26" x14ac:dyDescent="0.25">
      <c r="A16" t="s">
        <v>16</v>
      </c>
      <c r="B16">
        <v>180601</v>
      </c>
      <c r="C16" t="s">
        <v>184</v>
      </c>
      <c r="D16" t="s">
        <v>163</v>
      </c>
      <c r="E16">
        <v>30</v>
      </c>
      <c r="G16" s="4">
        <v>180840</v>
      </c>
      <c r="I16" s="4" t="s">
        <v>204</v>
      </c>
      <c r="J16" s="7">
        <v>30</v>
      </c>
      <c r="L16">
        <v>180611</v>
      </c>
      <c r="M16" t="s">
        <v>190</v>
      </c>
      <c r="N16" t="s">
        <v>164</v>
      </c>
      <c r="O16">
        <v>45</v>
      </c>
      <c r="Q16" s="4">
        <v>180840</v>
      </c>
      <c r="S16" s="4" t="s">
        <v>204</v>
      </c>
      <c r="T16" s="7">
        <v>45</v>
      </c>
      <c r="V16">
        <v>180612</v>
      </c>
      <c r="W16" t="s">
        <v>166</v>
      </c>
      <c r="X16" t="s">
        <v>165</v>
      </c>
      <c r="Y16">
        <v>60</v>
      </c>
    </row>
    <row r="17" spans="1:25" x14ac:dyDescent="0.25">
      <c r="A17" t="s">
        <v>17</v>
      </c>
      <c r="B17">
        <v>180601</v>
      </c>
      <c r="C17" t="s">
        <v>184</v>
      </c>
      <c r="D17" t="s">
        <v>163</v>
      </c>
      <c r="E17">
        <v>30</v>
      </c>
      <c r="G17" s="4">
        <v>180820</v>
      </c>
      <c r="I17" s="4" t="s">
        <v>203</v>
      </c>
      <c r="J17" s="7">
        <v>30</v>
      </c>
      <c r="L17">
        <v>180611</v>
      </c>
      <c r="M17" t="s">
        <v>190</v>
      </c>
      <c r="N17" t="s">
        <v>164</v>
      </c>
      <c r="O17">
        <v>45</v>
      </c>
      <c r="Q17" s="4">
        <v>180820</v>
      </c>
      <c r="S17" s="4" t="s">
        <v>203</v>
      </c>
      <c r="T17" s="7">
        <v>45</v>
      </c>
      <c r="V17">
        <v>180612</v>
      </c>
      <c r="W17" t="s">
        <v>167</v>
      </c>
      <c r="X17" t="s">
        <v>165</v>
      </c>
      <c r="Y17">
        <v>60</v>
      </c>
    </row>
    <row r="18" spans="1:25" x14ac:dyDescent="0.25">
      <c r="A18" t="s">
        <v>18</v>
      </c>
      <c r="B18">
        <v>180601</v>
      </c>
      <c r="C18" t="s">
        <v>176</v>
      </c>
      <c r="D18" t="s">
        <v>163</v>
      </c>
      <c r="E18">
        <v>12</v>
      </c>
      <c r="G18" s="4">
        <v>180820</v>
      </c>
      <c r="I18" s="4" t="s">
        <v>203</v>
      </c>
      <c r="J18" s="7">
        <v>12</v>
      </c>
      <c r="L18">
        <v>180611</v>
      </c>
      <c r="M18" t="s">
        <v>191</v>
      </c>
      <c r="N18" t="s">
        <v>164</v>
      </c>
      <c r="O18">
        <v>26</v>
      </c>
      <c r="Q18" s="4">
        <v>180820</v>
      </c>
      <c r="S18" s="4" t="s">
        <v>203</v>
      </c>
      <c r="T18" s="7">
        <v>26</v>
      </c>
      <c r="V18">
        <v>180612</v>
      </c>
      <c r="W18" t="s">
        <v>167</v>
      </c>
      <c r="X18" t="s">
        <v>165</v>
      </c>
      <c r="Y18">
        <v>60</v>
      </c>
    </row>
    <row r="19" spans="1:25" x14ac:dyDescent="0.25">
      <c r="A19" t="s">
        <v>19</v>
      </c>
      <c r="B19">
        <v>180601</v>
      </c>
      <c r="C19" t="s">
        <v>176</v>
      </c>
      <c r="D19" t="s">
        <v>163</v>
      </c>
      <c r="E19">
        <v>12</v>
      </c>
      <c r="G19" s="4">
        <v>180820</v>
      </c>
      <c r="I19" s="4" t="s">
        <v>203</v>
      </c>
      <c r="J19" s="7">
        <v>12</v>
      </c>
      <c r="L19">
        <v>180611</v>
      </c>
      <c r="M19" t="s">
        <v>191</v>
      </c>
      <c r="N19" t="s">
        <v>164</v>
      </c>
      <c r="O19">
        <v>26</v>
      </c>
      <c r="Q19" s="4">
        <v>180820</v>
      </c>
      <c r="S19" s="4" t="s">
        <v>203</v>
      </c>
      <c r="T19" s="7">
        <v>26</v>
      </c>
      <c r="V19">
        <v>180612</v>
      </c>
      <c r="W19" t="s">
        <v>167</v>
      </c>
      <c r="X19" t="s">
        <v>165</v>
      </c>
      <c r="Y19">
        <v>60</v>
      </c>
    </row>
    <row r="20" spans="1:25" x14ac:dyDescent="0.25">
      <c r="A20" t="s">
        <v>20</v>
      </c>
      <c r="B20">
        <v>180601</v>
      </c>
      <c r="C20" t="s">
        <v>174</v>
      </c>
      <c r="D20" t="s">
        <v>163</v>
      </c>
      <c r="E20">
        <v>12</v>
      </c>
      <c r="G20" s="4">
        <v>180820</v>
      </c>
      <c r="I20" s="4" t="s">
        <v>203</v>
      </c>
      <c r="J20" s="7">
        <v>12</v>
      </c>
      <c r="L20">
        <v>180611</v>
      </c>
      <c r="M20" t="s">
        <v>188</v>
      </c>
      <c r="N20" t="s">
        <v>164</v>
      </c>
      <c r="O20">
        <v>26</v>
      </c>
      <c r="Q20" s="4">
        <v>180820</v>
      </c>
      <c r="S20" s="4" t="s">
        <v>203</v>
      </c>
      <c r="T20" s="7">
        <v>26</v>
      </c>
      <c r="V20">
        <v>180612</v>
      </c>
      <c r="W20" t="s">
        <v>167</v>
      </c>
      <c r="X20" t="s">
        <v>165</v>
      </c>
      <c r="Y20">
        <v>60</v>
      </c>
    </row>
    <row r="21" spans="1:25" x14ac:dyDescent="0.25">
      <c r="A21" t="s">
        <v>21</v>
      </c>
      <c r="B21">
        <v>180601</v>
      </c>
      <c r="C21" t="s">
        <v>174</v>
      </c>
      <c r="D21" t="s">
        <v>163</v>
      </c>
      <c r="E21">
        <v>12</v>
      </c>
      <c r="G21" s="4">
        <v>180830</v>
      </c>
      <c r="I21" s="4" t="s">
        <v>205</v>
      </c>
      <c r="J21" s="7">
        <v>12</v>
      </c>
      <c r="L21">
        <v>180611</v>
      </c>
      <c r="M21" t="s">
        <v>188</v>
      </c>
      <c r="N21" t="s">
        <v>164</v>
      </c>
      <c r="O21">
        <v>26</v>
      </c>
      <c r="Q21" s="4">
        <v>180830</v>
      </c>
      <c r="S21" s="4" t="s">
        <v>205</v>
      </c>
      <c r="T21" s="7">
        <v>26</v>
      </c>
      <c r="V21">
        <v>180612</v>
      </c>
      <c r="W21" t="s">
        <v>168</v>
      </c>
      <c r="X21" t="s">
        <v>165</v>
      </c>
      <c r="Y21">
        <v>60</v>
      </c>
    </row>
    <row r="22" spans="1:25" x14ac:dyDescent="0.25">
      <c r="A22" t="s">
        <v>22</v>
      </c>
      <c r="B22">
        <v>180601</v>
      </c>
      <c r="C22" t="s">
        <v>174</v>
      </c>
      <c r="D22" t="s">
        <v>163</v>
      </c>
      <c r="E22">
        <v>12</v>
      </c>
      <c r="G22" s="4">
        <v>180830</v>
      </c>
      <c r="I22" s="4" t="s">
        <v>205</v>
      </c>
      <c r="J22" s="7">
        <v>12</v>
      </c>
      <c r="L22">
        <v>180611</v>
      </c>
      <c r="M22" t="s">
        <v>188</v>
      </c>
      <c r="N22" t="s">
        <v>164</v>
      </c>
      <c r="O22">
        <v>26</v>
      </c>
      <c r="Q22" s="4">
        <v>180830</v>
      </c>
      <c r="S22" s="4" t="s">
        <v>205</v>
      </c>
      <c r="T22" s="7">
        <v>26</v>
      </c>
      <c r="V22">
        <v>180612</v>
      </c>
      <c r="W22" t="s">
        <v>168</v>
      </c>
      <c r="X22" t="s">
        <v>165</v>
      </c>
      <c r="Y22">
        <v>60</v>
      </c>
    </row>
    <row r="23" spans="1:25" x14ac:dyDescent="0.25">
      <c r="A23" t="s">
        <v>23</v>
      </c>
      <c r="B23">
        <v>180601</v>
      </c>
      <c r="C23" t="s">
        <v>174</v>
      </c>
      <c r="D23" t="s">
        <v>163</v>
      </c>
      <c r="E23">
        <v>12</v>
      </c>
      <c r="G23" s="4">
        <v>180830</v>
      </c>
      <c r="I23" s="4" t="s">
        <v>205</v>
      </c>
      <c r="J23" s="7">
        <v>12</v>
      </c>
      <c r="L23">
        <v>180611</v>
      </c>
      <c r="M23" t="s">
        <v>188</v>
      </c>
      <c r="N23" t="s">
        <v>164</v>
      </c>
      <c r="O23">
        <v>26</v>
      </c>
      <c r="Q23" s="4">
        <v>180830</v>
      </c>
      <c r="S23" s="4" t="s">
        <v>205</v>
      </c>
      <c r="T23" s="7">
        <v>26</v>
      </c>
      <c r="V23">
        <v>180612</v>
      </c>
      <c r="W23" t="s">
        <v>168</v>
      </c>
      <c r="X23" t="s">
        <v>165</v>
      </c>
      <c r="Y23">
        <v>60</v>
      </c>
    </row>
    <row r="24" spans="1:25" x14ac:dyDescent="0.25">
      <c r="A24" t="s">
        <v>24</v>
      </c>
      <c r="B24">
        <v>180601</v>
      </c>
      <c r="C24" t="s">
        <v>174</v>
      </c>
      <c r="D24" t="s">
        <v>163</v>
      </c>
      <c r="E24">
        <v>12</v>
      </c>
      <c r="G24" s="4">
        <v>180830</v>
      </c>
      <c r="I24" s="4" t="s">
        <v>205</v>
      </c>
      <c r="J24" s="7">
        <v>12</v>
      </c>
      <c r="L24">
        <v>180611</v>
      </c>
      <c r="M24" t="s">
        <v>188</v>
      </c>
      <c r="N24" t="s">
        <v>164</v>
      </c>
      <c r="O24">
        <v>26</v>
      </c>
      <c r="Q24" s="4">
        <v>180830</v>
      </c>
      <c r="S24" s="4" t="s">
        <v>205</v>
      </c>
      <c r="T24" s="7">
        <v>26</v>
      </c>
      <c r="V24">
        <v>180612</v>
      </c>
      <c r="W24" t="s">
        <v>168</v>
      </c>
      <c r="X24" t="s">
        <v>165</v>
      </c>
      <c r="Y24">
        <v>60</v>
      </c>
    </row>
    <row r="25" spans="1:25" x14ac:dyDescent="0.25">
      <c r="A25" t="s">
        <v>25</v>
      </c>
      <c r="B25">
        <v>180601</v>
      </c>
      <c r="C25" t="s">
        <v>174</v>
      </c>
      <c r="D25" t="s">
        <v>163</v>
      </c>
      <c r="E25">
        <v>12</v>
      </c>
      <c r="G25" s="4">
        <v>180840</v>
      </c>
      <c r="I25" s="4" t="s">
        <v>204</v>
      </c>
      <c r="J25" s="7">
        <v>12</v>
      </c>
      <c r="L25">
        <v>180611</v>
      </c>
      <c r="M25" t="s">
        <v>188</v>
      </c>
      <c r="N25" t="s">
        <v>164</v>
      </c>
      <c r="O25">
        <v>26</v>
      </c>
      <c r="Q25" s="4">
        <v>180840</v>
      </c>
      <c r="S25" s="4" t="s">
        <v>204</v>
      </c>
      <c r="T25" s="7">
        <v>26</v>
      </c>
      <c r="V25">
        <v>180612</v>
      </c>
      <c r="W25" t="s">
        <v>166</v>
      </c>
      <c r="X25" t="s">
        <v>165</v>
      </c>
      <c r="Y25">
        <v>60</v>
      </c>
    </row>
    <row r="26" spans="1:25" x14ac:dyDescent="0.25">
      <c r="A26" t="s">
        <v>26</v>
      </c>
      <c r="B26">
        <v>180601</v>
      </c>
      <c r="C26" t="s">
        <v>174</v>
      </c>
      <c r="D26" t="s">
        <v>163</v>
      </c>
      <c r="E26">
        <v>12</v>
      </c>
      <c r="G26" s="4">
        <v>180840</v>
      </c>
      <c r="I26" s="4" t="s">
        <v>204</v>
      </c>
      <c r="J26" s="7">
        <v>12</v>
      </c>
      <c r="L26">
        <v>180611</v>
      </c>
      <c r="M26" t="s">
        <v>188</v>
      </c>
      <c r="N26" t="s">
        <v>164</v>
      </c>
      <c r="O26">
        <v>26</v>
      </c>
      <c r="Q26" s="4">
        <v>180840</v>
      </c>
      <c r="S26" s="4" t="s">
        <v>204</v>
      </c>
      <c r="T26" s="7">
        <v>26</v>
      </c>
      <c r="V26">
        <v>180612</v>
      </c>
      <c r="W26" t="s">
        <v>166</v>
      </c>
      <c r="X26" t="s">
        <v>165</v>
      </c>
      <c r="Y26">
        <v>60</v>
      </c>
    </row>
    <row r="27" spans="1:25" x14ac:dyDescent="0.25">
      <c r="A27" t="s">
        <v>27</v>
      </c>
      <c r="B27">
        <v>180601</v>
      </c>
      <c r="C27" t="s">
        <v>174</v>
      </c>
      <c r="D27" t="s">
        <v>163</v>
      </c>
      <c r="E27">
        <v>12</v>
      </c>
      <c r="G27" s="4">
        <v>180840</v>
      </c>
      <c r="I27" s="4" t="s">
        <v>204</v>
      </c>
      <c r="J27" s="7">
        <v>12</v>
      </c>
      <c r="L27">
        <v>180611</v>
      </c>
      <c r="M27" t="s">
        <v>188</v>
      </c>
      <c r="N27" t="s">
        <v>164</v>
      </c>
      <c r="O27">
        <v>26</v>
      </c>
      <c r="Q27" s="4">
        <v>180840</v>
      </c>
      <c r="S27" s="4" t="s">
        <v>204</v>
      </c>
      <c r="T27" s="7">
        <v>26</v>
      </c>
      <c r="V27">
        <v>180612</v>
      </c>
      <c r="W27" t="s">
        <v>166</v>
      </c>
      <c r="X27" t="s">
        <v>165</v>
      </c>
      <c r="Y27">
        <v>60</v>
      </c>
    </row>
    <row r="28" spans="1:25" x14ac:dyDescent="0.25">
      <c r="A28" t="s">
        <v>28</v>
      </c>
      <c r="B28">
        <v>180601</v>
      </c>
      <c r="C28" t="s">
        <v>174</v>
      </c>
      <c r="D28" t="s">
        <v>163</v>
      </c>
      <c r="E28">
        <v>12</v>
      </c>
      <c r="G28" s="4">
        <v>180840</v>
      </c>
      <c r="I28" s="4" t="s">
        <v>204</v>
      </c>
      <c r="J28" s="7">
        <v>12</v>
      </c>
      <c r="L28">
        <v>180611</v>
      </c>
      <c r="M28" t="s">
        <v>188</v>
      </c>
      <c r="N28" t="s">
        <v>164</v>
      </c>
      <c r="O28">
        <v>26</v>
      </c>
      <c r="Q28" s="4">
        <v>180840</v>
      </c>
      <c r="S28" s="4" t="s">
        <v>204</v>
      </c>
      <c r="T28" s="7">
        <v>26</v>
      </c>
      <c r="V28">
        <v>180612</v>
      </c>
      <c r="W28" t="s">
        <v>166</v>
      </c>
      <c r="X28" t="s">
        <v>165</v>
      </c>
      <c r="Y28">
        <v>60</v>
      </c>
    </row>
    <row r="29" spans="1:25" x14ac:dyDescent="0.25">
      <c r="A29" t="s">
        <v>29</v>
      </c>
      <c r="B29">
        <v>180601</v>
      </c>
      <c r="C29" t="s">
        <v>178</v>
      </c>
      <c r="D29" t="s">
        <v>163</v>
      </c>
      <c r="E29">
        <v>12</v>
      </c>
      <c r="G29" s="4">
        <v>180850</v>
      </c>
      <c r="I29" s="4" t="s">
        <v>206</v>
      </c>
      <c r="J29" s="7">
        <v>12</v>
      </c>
      <c r="L29">
        <v>180611</v>
      </c>
      <c r="M29" t="s">
        <v>192</v>
      </c>
      <c r="N29" t="s">
        <v>164</v>
      </c>
      <c r="O29">
        <v>26</v>
      </c>
      <c r="Q29" s="4">
        <v>180850</v>
      </c>
      <c r="S29" s="4" t="s">
        <v>206</v>
      </c>
      <c r="T29" s="7">
        <v>26</v>
      </c>
      <c r="V29">
        <v>180612</v>
      </c>
      <c r="W29" t="s">
        <v>169</v>
      </c>
      <c r="X29" t="s">
        <v>165</v>
      </c>
      <c r="Y29">
        <v>60</v>
      </c>
    </row>
    <row r="30" spans="1:25" x14ac:dyDescent="0.25">
      <c r="A30" t="s">
        <v>30</v>
      </c>
      <c r="B30">
        <v>180601</v>
      </c>
      <c r="C30" t="s">
        <v>178</v>
      </c>
      <c r="D30" t="s">
        <v>163</v>
      </c>
      <c r="E30">
        <v>12</v>
      </c>
      <c r="G30" s="4">
        <v>180850</v>
      </c>
      <c r="I30" s="4" t="s">
        <v>206</v>
      </c>
      <c r="J30" s="7">
        <v>12</v>
      </c>
      <c r="L30">
        <v>180611</v>
      </c>
      <c r="M30" t="s">
        <v>192</v>
      </c>
      <c r="N30" t="s">
        <v>164</v>
      </c>
      <c r="O30">
        <v>26</v>
      </c>
      <c r="Q30" s="4">
        <v>180850</v>
      </c>
      <c r="S30" s="4" t="s">
        <v>206</v>
      </c>
      <c r="T30" s="7">
        <v>26</v>
      </c>
      <c r="V30">
        <v>180612</v>
      </c>
      <c r="W30" t="s">
        <v>169</v>
      </c>
      <c r="X30" t="s">
        <v>165</v>
      </c>
      <c r="Y30">
        <v>60</v>
      </c>
    </row>
    <row r="31" spans="1:25" x14ac:dyDescent="0.25">
      <c r="A31" t="s">
        <v>31</v>
      </c>
      <c r="B31">
        <v>180601</v>
      </c>
      <c r="C31" t="s">
        <v>185</v>
      </c>
      <c r="D31" t="s">
        <v>163</v>
      </c>
      <c r="E31">
        <v>30</v>
      </c>
      <c r="G31" s="4">
        <v>180820</v>
      </c>
      <c r="I31" s="4" t="s">
        <v>203</v>
      </c>
      <c r="J31" s="7">
        <v>30</v>
      </c>
      <c r="L31">
        <v>180611</v>
      </c>
      <c r="M31" t="s">
        <v>193</v>
      </c>
      <c r="N31" t="s">
        <v>164</v>
      </c>
      <c r="O31">
        <v>45</v>
      </c>
      <c r="Q31" s="4">
        <v>180820</v>
      </c>
      <c r="S31" s="4" t="s">
        <v>203</v>
      </c>
      <c r="T31" s="7">
        <v>45</v>
      </c>
      <c r="V31">
        <v>180612</v>
      </c>
      <c r="W31" t="s">
        <v>167</v>
      </c>
      <c r="X31" t="s">
        <v>165</v>
      </c>
      <c r="Y31">
        <v>60</v>
      </c>
    </row>
    <row r="32" spans="1:25" x14ac:dyDescent="0.25">
      <c r="A32" t="s">
        <v>32</v>
      </c>
      <c r="B32">
        <v>180601</v>
      </c>
      <c r="C32" t="s">
        <v>177</v>
      </c>
      <c r="D32" t="s">
        <v>163</v>
      </c>
      <c r="E32">
        <v>12</v>
      </c>
      <c r="G32" s="4">
        <v>180820</v>
      </c>
      <c r="I32" s="4" t="s">
        <v>203</v>
      </c>
      <c r="J32" s="7">
        <v>12</v>
      </c>
      <c r="L32">
        <v>180611</v>
      </c>
      <c r="M32" t="s">
        <v>194</v>
      </c>
      <c r="N32" t="s">
        <v>164</v>
      </c>
      <c r="O32">
        <v>26</v>
      </c>
      <c r="Q32" s="4">
        <v>180820</v>
      </c>
      <c r="S32" s="4" t="s">
        <v>203</v>
      </c>
      <c r="T32" s="7">
        <v>26</v>
      </c>
      <c r="V32">
        <v>180612</v>
      </c>
      <c r="W32" t="s">
        <v>167</v>
      </c>
      <c r="X32" t="s">
        <v>165</v>
      </c>
      <c r="Y32">
        <v>60</v>
      </c>
    </row>
    <row r="33" spans="1:25" x14ac:dyDescent="0.25">
      <c r="A33" t="s">
        <v>33</v>
      </c>
      <c r="B33">
        <v>180601</v>
      </c>
      <c r="C33" t="s">
        <v>174</v>
      </c>
      <c r="D33" t="s">
        <v>163</v>
      </c>
      <c r="E33">
        <v>12</v>
      </c>
      <c r="G33" s="4">
        <v>180840</v>
      </c>
      <c r="I33" s="4" t="s">
        <v>204</v>
      </c>
      <c r="J33" s="7">
        <v>12</v>
      </c>
      <c r="L33">
        <v>180611</v>
      </c>
      <c r="M33" t="s">
        <v>188</v>
      </c>
      <c r="N33" t="s">
        <v>164</v>
      </c>
      <c r="O33">
        <v>26</v>
      </c>
      <c r="Q33" s="4">
        <v>180840</v>
      </c>
      <c r="S33" s="4" t="s">
        <v>204</v>
      </c>
      <c r="T33" s="7">
        <v>26</v>
      </c>
      <c r="V33">
        <v>180612</v>
      </c>
      <c r="W33" t="s">
        <v>166</v>
      </c>
      <c r="X33" t="s">
        <v>165</v>
      </c>
      <c r="Y33">
        <v>60</v>
      </c>
    </row>
    <row r="34" spans="1:25" x14ac:dyDescent="0.25">
      <c r="A34" t="s">
        <v>34</v>
      </c>
      <c r="B34">
        <v>180601</v>
      </c>
      <c r="C34" t="s">
        <v>174</v>
      </c>
      <c r="D34" t="s">
        <v>163</v>
      </c>
      <c r="E34">
        <v>12</v>
      </c>
      <c r="G34" s="4">
        <v>180840</v>
      </c>
      <c r="I34" s="4" t="s">
        <v>204</v>
      </c>
      <c r="J34" s="7">
        <v>12</v>
      </c>
      <c r="L34">
        <v>180611</v>
      </c>
      <c r="M34" t="s">
        <v>188</v>
      </c>
      <c r="N34" t="s">
        <v>164</v>
      </c>
      <c r="O34">
        <v>26</v>
      </c>
      <c r="Q34" s="4">
        <v>180840</v>
      </c>
      <c r="S34" s="4" t="s">
        <v>204</v>
      </c>
      <c r="T34" s="7">
        <v>26</v>
      </c>
      <c r="V34">
        <v>180612</v>
      </c>
      <c r="W34" t="s">
        <v>166</v>
      </c>
      <c r="X34" t="s">
        <v>165</v>
      </c>
      <c r="Y34">
        <v>60</v>
      </c>
    </row>
    <row r="35" spans="1:25" x14ac:dyDescent="0.25">
      <c r="A35" t="s">
        <v>35</v>
      </c>
      <c r="B35">
        <v>180601</v>
      </c>
      <c r="C35" t="s">
        <v>176</v>
      </c>
      <c r="D35" t="s">
        <v>163</v>
      </c>
      <c r="E35">
        <v>12</v>
      </c>
      <c r="G35" s="4">
        <v>180840</v>
      </c>
      <c r="I35" s="4" t="s">
        <v>204</v>
      </c>
      <c r="J35" s="7">
        <v>12</v>
      </c>
      <c r="L35">
        <v>180611</v>
      </c>
      <c r="M35" t="s">
        <v>191</v>
      </c>
      <c r="N35" t="s">
        <v>164</v>
      </c>
      <c r="O35">
        <v>26</v>
      </c>
      <c r="Q35" s="4">
        <v>180840</v>
      </c>
      <c r="S35" s="4" t="s">
        <v>204</v>
      </c>
      <c r="T35" s="7">
        <v>26</v>
      </c>
      <c r="V35">
        <v>180612</v>
      </c>
      <c r="W35" t="s">
        <v>166</v>
      </c>
      <c r="X35" t="s">
        <v>165</v>
      </c>
      <c r="Y35">
        <v>60</v>
      </c>
    </row>
    <row r="36" spans="1:25" x14ac:dyDescent="0.25">
      <c r="A36" t="s">
        <v>36</v>
      </c>
      <c r="B36">
        <v>180601</v>
      </c>
      <c r="C36" t="s">
        <v>174</v>
      </c>
      <c r="D36" t="s">
        <v>163</v>
      </c>
      <c r="E36">
        <v>12</v>
      </c>
      <c r="G36" s="4">
        <v>180840</v>
      </c>
      <c r="I36" s="4" t="s">
        <v>204</v>
      </c>
      <c r="J36" s="7">
        <v>12</v>
      </c>
      <c r="L36">
        <v>180611</v>
      </c>
      <c r="M36" t="s">
        <v>188</v>
      </c>
      <c r="N36" t="s">
        <v>164</v>
      </c>
      <c r="O36">
        <v>26</v>
      </c>
      <c r="Q36" s="4">
        <v>180840</v>
      </c>
      <c r="S36" s="4" t="s">
        <v>204</v>
      </c>
      <c r="T36" s="7">
        <v>26</v>
      </c>
      <c r="V36">
        <v>180612</v>
      </c>
      <c r="W36" t="s">
        <v>166</v>
      </c>
      <c r="X36" t="s">
        <v>165</v>
      </c>
      <c r="Y36">
        <v>60</v>
      </c>
    </row>
  </sheetData>
  <mergeCells count="5">
    <mergeCell ref="V2:Z2"/>
    <mergeCell ref="B1:F1"/>
    <mergeCell ref="L1:P1"/>
    <mergeCell ref="B2:F2"/>
    <mergeCell ref="L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36"/>
  <sheetViews>
    <sheetView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AO36" sqref="AO4:AO36"/>
    </sheetView>
  </sheetViews>
  <sheetFormatPr defaultRowHeight="15" x14ac:dyDescent="0.25"/>
  <cols>
    <col min="1" max="1" width="35.7109375" bestFit="1" customWidth="1"/>
    <col min="11" max="15" width="9.140625" style="4"/>
    <col min="16" max="16" width="9.140625" style="3"/>
    <col min="26" max="30" width="9.140625" style="4"/>
    <col min="31" max="31" width="9.140625" style="3"/>
  </cols>
  <sheetData>
    <row r="1" spans="1:41" x14ac:dyDescent="0.25">
      <c r="B1" s="234" t="s">
        <v>161</v>
      </c>
      <c r="C1" s="234"/>
      <c r="D1" s="234"/>
      <c r="E1" s="234"/>
      <c r="F1" s="234"/>
      <c r="G1" s="234"/>
      <c r="H1" s="234"/>
      <c r="I1" s="234"/>
      <c r="J1" s="234"/>
      <c r="K1" s="234"/>
      <c r="L1" s="6" t="s">
        <v>202</v>
      </c>
      <c r="M1" s="6"/>
      <c r="N1" s="6"/>
      <c r="O1" s="6"/>
      <c r="P1" s="5"/>
      <c r="Q1" s="234" t="s">
        <v>162</v>
      </c>
      <c r="R1" s="234"/>
      <c r="S1" s="234"/>
      <c r="T1" s="234"/>
      <c r="U1" s="234"/>
      <c r="V1" s="234"/>
      <c r="W1" s="234"/>
      <c r="X1" s="234"/>
      <c r="Y1" s="234"/>
      <c r="Z1" s="234"/>
      <c r="AA1" s="6" t="s">
        <v>202</v>
      </c>
      <c r="AB1" s="6"/>
      <c r="AC1" s="6"/>
      <c r="AD1" s="6"/>
      <c r="AE1" s="5"/>
      <c r="AF1" t="s">
        <v>107</v>
      </c>
    </row>
    <row r="2" spans="1:41" x14ac:dyDescent="0.25">
      <c r="B2" s="234" t="s">
        <v>150</v>
      </c>
      <c r="C2" s="234"/>
      <c r="D2" s="234"/>
      <c r="E2" s="234"/>
      <c r="F2" s="234"/>
      <c r="G2" s="234" t="s">
        <v>160</v>
      </c>
      <c r="H2" s="234"/>
      <c r="I2" s="234"/>
      <c r="J2" s="234"/>
      <c r="K2" s="234"/>
      <c r="L2" s="6"/>
      <c r="M2" s="6"/>
      <c r="N2" s="6"/>
      <c r="O2" s="6"/>
      <c r="P2" s="5"/>
      <c r="Q2" s="234" t="s">
        <v>150</v>
      </c>
      <c r="R2" s="234"/>
      <c r="S2" s="234"/>
      <c r="T2" s="234"/>
      <c r="U2" s="234"/>
      <c r="V2" s="234" t="s">
        <v>160</v>
      </c>
      <c r="W2" s="234"/>
      <c r="X2" s="234"/>
      <c r="Y2" s="234"/>
      <c r="Z2" s="234"/>
      <c r="AA2" s="6"/>
      <c r="AB2" s="6"/>
      <c r="AC2" s="6"/>
      <c r="AD2" s="6"/>
      <c r="AE2" s="5"/>
      <c r="AF2" s="234" t="s">
        <v>150</v>
      </c>
      <c r="AG2" s="234"/>
      <c r="AH2" s="234"/>
      <c r="AI2" s="234"/>
      <c r="AJ2" s="234"/>
      <c r="AK2" s="234" t="s">
        <v>160</v>
      </c>
      <c r="AL2" s="234"/>
      <c r="AM2" s="234"/>
      <c r="AN2" s="234"/>
      <c r="AO2" s="234"/>
    </row>
    <row r="3" spans="1:41" x14ac:dyDescent="0.25">
      <c r="A3" t="s">
        <v>3</v>
      </c>
      <c r="B3" t="s">
        <v>101</v>
      </c>
      <c r="C3" t="s">
        <v>102</v>
      </c>
      <c r="D3" t="s">
        <v>103</v>
      </c>
      <c r="E3" t="s">
        <v>104</v>
      </c>
      <c r="F3" t="s">
        <v>105</v>
      </c>
      <c r="G3" t="s">
        <v>101</v>
      </c>
      <c r="H3" t="s">
        <v>102</v>
      </c>
      <c r="I3" t="s">
        <v>103</v>
      </c>
      <c r="J3" t="s">
        <v>104</v>
      </c>
      <c r="K3" s="4" t="s">
        <v>105</v>
      </c>
      <c r="L3" t="s">
        <v>101</v>
      </c>
      <c r="M3" t="s">
        <v>102</v>
      </c>
      <c r="N3" t="s">
        <v>103</v>
      </c>
      <c r="O3" t="s">
        <v>104</v>
      </c>
      <c r="P3" t="s">
        <v>105</v>
      </c>
      <c r="Q3" t="s">
        <v>101</v>
      </c>
      <c r="R3" t="s">
        <v>102</v>
      </c>
      <c r="S3" t="s">
        <v>103</v>
      </c>
      <c r="T3" t="s">
        <v>104</v>
      </c>
      <c r="U3" t="s">
        <v>105</v>
      </c>
      <c r="V3" t="s">
        <v>101</v>
      </c>
      <c r="W3" t="s">
        <v>102</v>
      </c>
      <c r="X3" t="s">
        <v>103</v>
      </c>
      <c r="Y3" t="s">
        <v>104</v>
      </c>
      <c r="Z3" s="4" t="s">
        <v>105</v>
      </c>
      <c r="AA3" t="s">
        <v>101</v>
      </c>
      <c r="AB3" t="s">
        <v>102</v>
      </c>
      <c r="AC3" t="s">
        <v>103</v>
      </c>
      <c r="AD3" t="s">
        <v>104</v>
      </c>
      <c r="AE3" t="s">
        <v>105</v>
      </c>
      <c r="AF3" t="s">
        <v>101</v>
      </c>
      <c r="AG3" t="s">
        <v>102</v>
      </c>
      <c r="AH3" t="s">
        <v>103</v>
      </c>
      <c r="AI3" t="s">
        <v>104</v>
      </c>
      <c r="AJ3" t="s">
        <v>105</v>
      </c>
      <c r="AK3" t="s">
        <v>101</v>
      </c>
      <c r="AL3" t="s">
        <v>102</v>
      </c>
      <c r="AM3" t="s">
        <v>103</v>
      </c>
      <c r="AN3" t="s">
        <v>104</v>
      </c>
      <c r="AO3" t="s">
        <v>105</v>
      </c>
    </row>
    <row r="4" spans="1:41" x14ac:dyDescent="0.25">
      <c r="A4" t="s">
        <v>4</v>
      </c>
      <c r="B4">
        <v>180601</v>
      </c>
      <c r="C4" t="s">
        <v>174</v>
      </c>
      <c r="D4" t="s">
        <v>163</v>
      </c>
      <c r="E4">
        <v>12</v>
      </c>
      <c r="G4">
        <v>180601</v>
      </c>
      <c r="H4" t="s">
        <v>179</v>
      </c>
      <c r="I4" t="s">
        <v>163</v>
      </c>
      <c r="J4">
        <v>12</v>
      </c>
      <c r="L4" s="4">
        <v>180840</v>
      </c>
      <c r="N4" s="4" t="s">
        <v>204</v>
      </c>
      <c r="O4" s="7">
        <v>12</v>
      </c>
      <c r="Q4">
        <v>180611</v>
      </c>
      <c r="R4" t="s">
        <v>188</v>
      </c>
      <c r="S4" t="s">
        <v>164</v>
      </c>
      <c r="T4">
        <v>26</v>
      </c>
      <c r="V4">
        <v>180611</v>
      </c>
      <c r="W4" t="s">
        <v>195</v>
      </c>
      <c r="X4" t="s">
        <v>164</v>
      </c>
      <c r="Y4">
        <v>26</v>
      </c>
      <c r="AA4" s="4">
        <v>180840</v>
      </c>
      <c r="AC4" s="4" t="s">
        <v>204</v>
      </c>
      <c r="AD4" s="7">
        <v>26</v>
      </c>
      <c r="AF4">
        <v>180612</v>
      </c>
      <c r="AG4" t="s">
        <v>166</v>
      </c>
      <c r="AH4" t="s">
        <v>165</v>
      </c>
      <c r="AI4">
        <v>60</v>
      </c>
      <c r="AK4">
        <v>180612</v>
      </c>
      <c r="AL4" t="s">
        <v>170</v>
      </c>
      <c r="AM4" t="s">
        <v>165</v>
      </c>
      <c r="AN4">
        <v>60</v>
      </c>
    </row>
    <row r="5" spans="1:41" x14ac:dyDescent="0.25">
      <c r="A5" t="s">
        <v>5</v>
      </c>
      <c r="B5">
        <v>180601</v>
      </c>
      <c r="C5" t="s">
        <v>174</v>
      </c>
      <c r="D5" t="s">
        <v>163</v>
      </c>
      <c r="E5">
        <v>12</v>
      </c>
      <c r="G5">
        <v>180601</v>
      </c>
      <c r="H5" t="s">
        <v>179</v>
      </c>
      <c r="I5" t="s">
        <v>163</v>
      </c>
      <c r="J5">
        <v>12</v>
      </c>
      <c r="L5" s="4">
        <v>180840</v>
      </c>
      <c r="N5" s="4" t="s">
        <v>204</v>
      </c>
      <c r="O5" s="7">
        <v>12</v>
      </c>
      <c r="Q5">
        <v>180611</v>
      </c>
      <c r="R5" t="s">
        <v>188</v>
      </c>
      <c r="S5" t="s">
        <v>164</v>
      </c>
      <c r="T5">
        <v>26</v>
      </c>
      <c r="V5">
        <v>180611</v>
      </c>
      <c r="W5" t="s">
        <v>195</v>
      </c>
      <c r="X5" t="s">
        <v>164</v>
      </c>
      <c r="Y5">
        <v>26</v>
      </c>
      <c r="AA5" s="4">
        <v>180840</v>
      </c>
      <c r="AC5" s="4" t="s">
        <v>204</v>
      </c>
      <c r="AD5" s="7">
        <v>26</v>
      </c>
      <c r="AF5">
        <v>180612</v>
      </c>
      <c r="AG5" t="s">
        <v>166</v>
      </c>
      <c r="AH5" t="s">
        <v>165</v>
      </c>
      <c r="AI5">
        <v>60</v>
      </c>
      <c r="AK5">
        <v>180612</v>
      </c>
      <c r="AL5" t="s">
        <v>170</v>
      </c>
      <c r="AM5" t="s">
        <v>165</v>
      </c>
      <c r="AN5">
        <v>60</v>
      </c>
    </row>
    <row r="6" spans="1:41" x14ac:dyDescent="0.25">
      <c r="A6" t="s">
        <v>6</v>
      </c>
      <c r="B6">
        <v>180601</v>
      </c>
      <c r="C6" t="s">
        <v>174</v>
      </c>
      <c r="D6" t="s">
        <v>163</v>
      </c>
      <c r="E6">
        <v>12</v>
      </c>
      <c r="G6">
        <v>180601</v>
      </c>
      <c r="H6" t="s">
        <v>179</v>
      </c>
      <c r="I6" t="s">
        <v>163</v>
      </c>
      <c r="J6">
        <v>12</v>
      </c>
      <c r="L6" s="4">
        <v>180840</v>
      </c>
      <c r="N6" s="4" t="s">
        <v>204</v>
      </c>
      <c r="O6" s="7">
        <v>12</v>
      </c>
      <c r="Q6">
        <v>180611</v>
      </c>
      <c r="R6" t="s">
        <v>188</v>
      </c>
      <c r="S6" t="s">
        <v>164</v>
      </c>
      <c r="T6">
        <v>26</v>
      </c>
      <c r="V6">
        <v>180611</v>
      </c>
      <c r="W6" t="s">
        <v>195</v>
      </c>
      <c r="X6" t="s">
        <v>164</v>
      </c>
      <c r="Y6">
        <v>26</v>
      </c>
      <c r="AA6" s="4">
        <v>180840</v>
      </c>
      <c r="AC6" s="4" t="s">
        <v>204</v>
      </c>
      <c r="AD6" s="7">
        <v>26</v>
      </c>
      <c r="AF6">
        <v>180612</v>
      </c>
      <c r="AG6" t="s">
        <v>166</v>
      </c>
      <c r="AH6" t="s">
        <v>165</v>
      </c>
      <c r="AI6">
        <v>60</v>
      </c>
      <c r="AK6">
        <v>180612</v>
      </c>
      <c r="AL6" t="s">
        <v>170</v>
      </c>
      <c r="AM6" t="s">
        <v>165</v>
      </c>
      <c r="AN6">
        <v>60</v>
      </c>
    </row>
    <row r="7" spans="1:41" x14ac:dyDescent="0.25">
      <c r="A7" t="s">
        <v>7</v>
      </c>
      <c r="B7">
        <v>180601</v>
      </c>
      <c r="C7" t="s">
        <v>174</v>
      </c>
      <c r="D7" t="s">
        <v>163</v>
      </c>
      <c r="E7">
        <v>12</v>
      </c>
      <c r="G7">
        <v>180601</v>
      </c>
      <c r="H7" t="s">
        <v>179</v>
      </c>
      <c r="I7" t="s">
        <v>163</v>
      </c>
      <c r="J7">
        <v>12</v>
      </c>
      <c r="L7" s="4">
        <v>180840</v>
      </c>
      <c r="N7" s="4" t="s">
        <v>204</v>
      </c>
      <c r="O7" s="7">
        <v>12</v>
      </c>
      <c r="Q7">
        <v>180611</v>
      </c>
      <c r="R7" t="s">
        <v>188</v>
      </c>
      <c r="S7" t="s">
        <v>164</v>
      </c>
      <c r="T7">
        <v>26</v>
      </c>
      <c r="V7">
        <v>180611</v>
      </c>
      <c r="W7" t="s">
        <v>195</v>
      </c>
      <c r="X7" t="s">
        <v>164</v>
      </c>
      <c r="Y7">
        <v>26</v>
      </c>
      <c r="AA7" s="4">
        <v>180840</v>
      </c>
      <c r="AC7" s="4" t="s">
        <v>204</v>
      </c>
      <c r="AD7" s="7">
        <v>26</v>
      </c>
      <c r="AF7">
        <v>180612</v>
      </c>
      <c r="AG7" t="s">
        <v>166</v>
      </c>
      <c r="AH7" t="s">
        <v>165</v>
      </c>
      <c r="AI7">
        <v>60</v>
      </c>
      <c r="AK7">
        <v>180612</v>
      </c>
      <c r="AL7" t="s">
        <v>170</v>
      </c>
      <c r="AM7" t="s">
        <v>165</v>
      </c>
      <c r="AN7">
        <v>60</v>
      </c>
    </row>
    <row r="8" spans="1:41" x14ac:dyDescent="0.25">
      <c r="A8" t="s">
        <v>8</v>
      </c>
      <c r="B8">
        <v>180601</v>
      </c>
      <c r="C8" t="s">
        <v>174</v>
      </c>
      <c r="D8" t="s">
        <v>163</v>
      </c>
      <c r="E8">
        <v>12</v>
      </c>
      <c r="G8">
        <v>180601</v>
      </c>
      <c r="H8" t="s">
        <v>179</v>
      </c>
      <c r="I8" t="s">
        <v>163</v>
      </c>
      <c r="J8">
        <v>12</v>
      </c>
      <c r="L8" s="4">
        <v>180840</v>
      </c>
      <c r="N8" s="4" t="s">
        <v>204</v>
      </c>
      <c r="O8" s="7">
        <v>12</v>
      </c>
      <c r="Q8">
        <v>180611</v>
      </c>
      <c r="R8" t="s">
        <v>188</v>
      </c>
      <c r="S8" t="s">
        <v>164</v>
      </c>
      <c r="T8">
        <v>26</v>
      </c>
      <c r="V8">
        <v>180611</v>
      </c>
      <c r="W8" t="s">
        <v>195</v>
      </c>
      <c r="X8" t="s">
        <v>164</v>
      </c>
      <c r="Y8">
        <v>26</v>
      </c>
      <c r="AA8" s="4">
        <v>180840</v>
      </c>
      <c r="AC8" s="4" t="s">
        <v>204</v>
      </c>
      <c r="AD8" s="7">
        <v>26</v>
      </c>
      <c r="AF8">
        <v>180612</v>
      </c>
      <c r="AG8" t="s">
        <v>166</v>
      </c>
      <c r="AH8" t="s">
        <v>165</v>
      </c>
      <c r="AI8">
        <v>60</v>
      </c>
      <c r="AK8">
        <v>180612</v>
      </c>
      <c r="AL8" t="s">
        <v>170</v>
      </c>
      <c r="AM8" t="s">
        <v>165</v>
      </c>
      <c r="AN8">
        <v>60</v>
      </c>
    </row>
    <row r="9" spans="1:41" x14ac:dyDescent="0.25">
      <c r="A9" t="s">
        <v>9</v>
      </c>
      <c r="B9">
        <v>180601</v>
      </c>
      <c r="C9" t="s">
        <v>174</v>
      </c>
      <c r="D9" t="s">
        <v>163</v>
      </c>
      <c r="E9">
        <v>12</v>
      </c>
      <c r="G9">
        <v>180601</v>
      </c>
      <c r="H9" t="s">
        <v>179</v>
      </c>
      <c r="I9" t="s">
        <v>163</v>
      </c>
      <c r="J9">
        <v>12</v>
      </c>
      <c r="L9" s="4">
        <v>180840</v>
      </c>
      <c r="N9" s="4" t="s">
        <v>204</v>
      </c>
      <c r="O9" s="7">
        <v>12</v>
      </c>
      <c r="Q9">
        <v>180611</v>
      </c>
      <c r="R9" t="s">
        <v>188</v>
      </c>
      <c r="S9" t="s">
        <v>164</v>
      </c>
      <c r="T9">
        <v>26</v>
      </c>
      <c r="V9">
        <v>180611</v>
      </c>
      <c r="W9" t="s">
        <v>195</v>
      </c>
      <c r="X9" t="s">
        <v>164</v>
      </c>
      <c r="Y9">
        <v>26</v>
      </c>
      <c r="AA9" s="4">
        <v>180840</v>
      </c>
      <c r="AC9" s="4" t="s">
        <v>204</v>
      </c>
      <c r="AD9" s="7">
        <v>26</v>
      </c>
      <c r="AF9">
        <v>180612</v>
      </c>
      <c r="AG9" t="s">
        <v>166</v>
      </c>
      <c r="AH9" t="s">
        <v>165</v>
      </c>
      <c r="AI9">
        <v>60</v>
      </c>
      <c r="AK9">
        <v>180612</v>
      </c>
      <c r="AL9" t="s">
        <v>170</v>
      </c>
      <c r="AM9" t="s">
        <v>165</v>
      </c>
      <c r="AN9">
        <v>60</v>
      </c>
    </row>
    <row r="10" spans="1:41" x14ac:dyDescent="0.25">
      <c r="A10" t="s">
        <v>10</v>
      </c>
      <c r="B10">
        <v>180601</v>
      </c>
      <c r="C10" t="s">
        <v>174</v>
      </c>
      <c r="D10" t="s">
        <v>163</v>
      </c>
      <c r="E10">
        <v>12</v>
      </c>
      <c r="G10">
        <v>180601</v>
      </c>
      <c r="H10" t="s">
        <v>179</v>
      </c>
      <c r="I10" t="s">
        <v>163</v>
      </c>
      <c r="J10">
        <v>12</v>
      </c>
      <c r="L10" s="4">
        <v>180840</v>
      </c>
      <c r="N10" s="4" t="s">
        <v>204</v>
      </c>
      <c r="O10" s="7">
        <v>12</v>
      </c>
      <c r="Q10">
        <v>180611</v>
      </c>
      <c r="R10" t="s">
        <v>188</v>
      </c>
      <c r="S10" t="s">
        <v>164</v>
      </c>
      <c r="T10">
        <v>26</v>
      </c>
      <c r="V10">
        <v>180611</v>
      </c>
      <c r="W10" t="s">
        <v>195</v>
      </c>
      <c r="X10" t="s">
        <v>164</v>
      </c>
      <c r="Y10">
        <v>26</v>
      </c>
      <c r="AA10" s="4">
        <v>180840</v>
      </c>
      <c r="AC10" s="4" t="s">
        <v>204</v>
      </c>
      <c r="AD10" s="7">
        <v>26</v>
      </c>
      <c r="AF10">
        <v>180612</v>
      </c>
      <c r="AG10" t="s">
        <v>166</v>
      </c>
      <c r="AH10" t="s">
        <v>165</v>
      </c>
      <c r="AI10">
        <v>60</v>
      </c>
      <c r="AK10">
        <v>180612</v>
      </c>
      <c r="AL10" t="s">
        <v>170</v>
      </c>
      <c r="AM10" t="s">
        <v>165</v>
      </c>
      <c r="AN10">
        <v>60</v>
      </c>
    </row>
    <row r="11" spans="1:41" x14ac:dyDescent="0.25">
      <c r="A11" t="s">
        <v>11</v>
      </c>
      <c r="B11">
        <v>180601</v>
      </c>
      <c r="C11" t="s">
        <v>175</v>
      </c>
      <c r="D11" t="s">
        <v>163</v>
      </c>
      <c r="E11">
        <v>12</v>
      </c>
      <c r="G11">
        <v>180601</v>
      </c>
      <c r="H11" t="s">
        <v>180</v>
      </c>
      <c r="I11" t="s">
        <v>163</v>
      </c>
      <c r="J11">
        <v>12</v>
      </c>
      <c r="L11" s="4">
        <v>180840</v>
      </c>
      <c r="N11" s="4" t="s">
        <v>204</v>
      </c>
      <c r="O11" s="7">
        <v>12</v>
      </c>
      <c r="Q11">
        <v>180611</v>
      </c>
      <c r="R11" t="s">
        <v>189</v>
      </c>
      <c r="S11" t="s">
        <v>164</v>
      </c>
      <c r="T11">
        <v>26</v>
      </c>
      <c r="V11">
        <v>180611</v>
      </c>
      <c r="W11" t="s">
        <v>196</v>
      </c>
      <c r="X11" t="s">
        <v>164</v>
      </c>
      <c r="Y11">
        <v>26</v>
      </c>
      <c r="AA11" s="4">
        <v>180840</v>
      </c>
      <c r="AC11" s="4" t="s">
        <v>204</v>
      </c>
      <c r="AD11" s="7">
        <v>26</v>
      </c>
      <c r="AF11">
        <v>180612</v>
      </c>
      <c r="AG11" t="s">
        <v>166</v>
      </c>
      <c r="AH11" t="s">
        <v>165</v>
      </c>
      <c r="AI11">
        <v>60</v>
      </c>
      <c r="AK11">
        <v>180612</v>
      </c>
      <c r="AL11" t="s">
        <v>170</v>
      </c>
      <c r="AM11" t="s">
        <v>165</v>
      </c>
      <c r="AN11">
        <v>60</v>
      </c>
    </row>
    <row r="12" spans="1:41" x14ac:dyDescent="0.25">
      <c r="A12" t="s">
        <v>12</v>
      </c>
      <c r="B12">
        <v>180601</v>
      </c>
      <c r="C12" t="s">
        <v>175</v>
      </c>
      <c r="D12" t="s">
        <v>163</v>
      </c>
      <c r="E12">
        <v>12</v>
      </c>
      <c r="G12">
        <v>180601</v>
      </c>
      <c r="H12" t="s">
        <v>180</v>
      </c>
      <c r="I12" t="s">
        <v>163</v>
      </c>
      <c r="J12">
        <v>12</v>
      </c>
      <c r="L12" s="4">
        <v>180840</v>
      </c>
      <c r="N12" s="4" t="s">
        <v>204</v>
      </c>
      <c r="O12" s="7">
        <v>12</v>
      </c>
      <c r="Q12">
        <v>180611</v>
      </c>
      <c r="R12" t="s">
        <v>189</v>
      </c>
      <c r="S12" t="s">
        <v>164</v>
      </c>
      <c r="T12">
        <v>26</v>
      </c>
      <c r="V12">
        <v>180611</v>
      </c>
      <c r="W12" t="s">
        <v>196</v>
      </c>
      <c r="X12" t="s">
        <v>164</v>
      </c>
      <c r="Y12">
        <v>26</v>
      </c>
      <c r="AA12" s="4">
        <v>180840</v>
      </c>
      <c r="AC12" s="4" t="s">
        <v>204</v>
      </c>
      <c r="AD12" s="7">
        <v>26</v>
      </c>
      <c r="AF12">
        <v>180612</v>
      </c>
      <c r="AG12" t="s">
        <v>166</v>
      </c>
      <c r="AH12" t="s">
        <v>165</v>
      </c>
      <c r="AI12">
        <v>60</v>
      </c>
      <c r="AK12">
        <v>180612</v>
      </c>
      <c r="AL12" t="s">
        <v>170</v>
      </c>
      <c r="AM12" t="s">
        <v>165</v>
      </c>
      <c r="AN12">
        <v>60</v>
      </c>
    </row>
    <row r="13" spans="1:41" x14ac:dyDescent="0.25">
      <c r="A13" t="s">
        <v>13</v>
      </c>
      <c r="B13">
        <v>180601</v>
      </c>
      <c r="C13" t="s">
        <v>175</v>
      </c>
      <c r="D13" t="s">
        <v>163</v>
      </c>
      <c r="E13">
        <v>12</v>
      </c>
      <c r="G13">
        <v>180601</v>
      </c>
      <c r="H13" t="s">
        <v>180</v>
      </c>
      <c r="I13" t="s">
        <v>163</v>
      </c>
      <c r="J13">
        <v>12</v>
      </c>
      <c r="L13" s="4">
        <v>180840</v>
      </c>
      <c r="N13" s="4" t="s">
        <v>204</v>
      </c>
      <c r="O13" s="7">
        <v>12</v>
      </c>
      <c r="Q13">
        <v>180611</v>
      </c>
      <c r="R13" t="s">
        <v>189</v>
      </c>
      <c r="S13" t="s">
        <v>164</v>
      </c>
      <c r="T13">
        <v>26</v>
      </c>
      <c r="V13">
        <v>180611</v>
      </c>
      <c r="W13" t="s">
        <v>196</v>
      </c>
      <c r="X13" t="s">
        <v>164</v>
      </c>
      <c r="Y13">
        <v>26</v>
      </c>
      <c r="AA13" s="4">
        <v>180840</v>
      </c>
      <c r="AC13" s="4" t="s">
        <v>204</v>
      </c>
      <c r="AD13" s="7">
        <v>26</v>
      </c>
      <c r="AF13">
        <v>180612</v>
      </c>
      <c r="AG13" t="s">
        <v>166</v>
      </c>
      <c r="AH13" t="s">
        <v>165</v>
      </c>
      <c r="AI13">
        <v>60</v>
      </c>
      <c r="AK13">
        <v>180612</v>
      </c>
      <c r="AL13" t="s">
        <v>170</v>
      </c>
      <c r="AM13" t="s">
        <v>165</v>
      </c>
      <c r="AN13">
        <v>60</v>
      </c>
    </row>
    <row r="14" spans="1:41" x14ac:dyDescent="0.25">
      <c r="A14" t="s">
        <v>14</v>
      </c>
      <c r="B14">
        <v>180601</v>
      </c>
      <c r="C14" t="s">
        <v>175</v>
      </c>
      <c r="D14" t="s">
        <v>163</v>
      </c>
      <c r="E14">
        <v>12</v>
      </c>
      <c r="G14">
        <v>180601</v>
      </c>
      <c r="H14" t="s">
        <v>180</v>
      </c>
      <c r="I14" t="s">
        <v>163</v>
      </c>
      <c r="J14">
        <v>12</v>
      </c>
      <c r="L14" s="4">
        <v>180840</v>
      </c>
      <c r="N14" s="4" t="s">
        <v>204</v>
      </c>
      <c r="O14" s="7">
        <v>12</v>
      </c>
      <c r="Q14">
        <v>180611</v>
      </c>
      <c r="R14" t="s">
        <v>189</v>
      </c>
      <c r="S14" t="s">
        <v>164</v>
      </c>
      <c r="T14">
        <v>26</v>
      </c>
      <c r="V14">
        <v>180611</v>
      </c>
      <c r="W14" t="s">
        <v>196</v>
      </c>
      <c r="X14" t="s">
        <v>164</v>
      </c>
      <c r="Y14">
        <v>26</v>
      </c>
      <c r="AA14" s="4">
        <v>180840</v>
      </c>
      <c r="AC14" s="4" t="s">
        <v>204</v>
      </c>
      <c r="AD14" s="7">
        <v>26</v>
      </c>
      <c r="AF14">
        <v>180612</v>
      </c>
      <c r="AG14" t="s">
        <v>166</v>
      </c>
      <c r="AH14" t="s">
        <v>165</v>
      </c>
      <c r="AI14">
        <v>60</v>
      </c>
      <c r="AK14">
        <v>180612</v>
      </c>
      <c r="AL14" t="s">
        <v>170</v>
      </c>
      <c r="AM14" t="s">
        <v>165</v>
      </c>
      <c r="AN14">
        <v>60</v>
      </c>
    </row>
    <row r="15" spans="1:41" x14ac:dyDescent="0.25">
      <c r="A15" t="s">
        <v>15</v>
      </c>
      <c r="B15">
        <v>180601</v>
      </c>
      <c r="C15" t="s">
        <v>184</v>
      </c>
      <c r="D15" t="s">
        <v>163</v>
      </c>
      <c r="E15">
        <v>30</v>
      </c>
      <c r="G15">
        <v>180601</v>
      </c>
      <c r="H15" t="s">
        <v>186</v>
      </c>
      <c r="I15" t="s">
        <v>163</v>
      </c>
      <c r="J15">
        <v>30</v>
      </c>
      <c r="L15" s="4">
        <v>180840</v>
      </c>
      <c r="N15" s="4" t="s">
        <v>204</v>
      </c>
      <c r="O15" s="7">
        <v>30</v>
      </c>
      <c r="Q15">
        <v>180611</v>
      </c>
      <c r="R15" t="s">
        <v>190</v>
      </c>
      <c r="S15" t="s">
        <v>164</v>
      </c>
      <c r="T15">
        <v>45</v>
      </c>
      <c r="V15">
        <v>180611</v>
      </c>
      <c r="W15" t="s">
        <v>197</v>
      </c>
      <c r="X15" t="s">
        <v>164</v>
      </c>
      <c r="Y15">
        <v>45</v>
      </c>
      <c r="AA15" s="4">
        <v>180840</v>
      </c>
      <c r="AC15" s="4" t="s">
        <v>204</v>
      </c>
      <c r="AD15" s="7">
        <v>45</v>
      </c>
      <c r="AF15">
        <v>180612</v>
      </c>
      <c r="AG15" t="s">
        <v>166</v>
      </c>
      <c r="AH15" t="s">
        <v>165</v>
      </c>
      <c r="AI15">
        <v>60</v>
      </c>
      <c r="AK15">
        <v>180612</v>
      </c>
      <c r="AL15" t="s">
        <v>170</v>
      </c>
      <c r="AM15" t="s">
        <v>165</v>
      </c>
      <c r="AN15">
        <v>60</v>
      </c>
    </row>
    <row r="16" spans="1:41" x14ac:dyDescent="0.25">
      <c r="A16" t="s">
        <v>16</v>
      </c>
      <c r="B16">
        <v>180601</v>
      </c>
      <c r="C16" t="s">
        <v>184</v>
      </c>
      <c r="D16" t="s">
        <v>163</v>
      </c>
      <c r="E16">
        <v>30</v>
      </c>
      <c r="G16">
        <v>180601</v>
      </c>
      <c r="H16" t="s">
        <v>186</v>
      </c>
      <c r="I16" t="s">
        <v>163</v>
      </c>
      <c r="J16">
        <v>30</v>
      </c>
      <c r="L16" s="4">
        <v>180840</v>
      </c>
      <c r="N16" s="4" t="s">
        <v>204</v>
      </c>
      <c r="O16" s="7">
        <v>30</v>
      </c>
      <c r="Q16">
        <v>180611</v>
      </c>
      <c r="R16" t="s">
        <v>190</v>
      </c>
      <c r="S16" t="s">
        <v>164</v>
      </c>
      <c r="T16">
        <v>45</v>
      </c>
      <c r="V16">
        <v>180611</v>
      </c>
      <c r="W16" t="s">
        <v>197</v>
      </c>
      <c r="X16" t="s">
        <v>164</v>
      </c>
      <c r="Y16">
        <v>45</v>
      </c>
      <c r="AA16" s="4">
        <v>180840</v>
      </c>
      <c r="AC16" s="4" t="s">
        <v>204</v>
      </c>
      <c r="AD16" s="7">
        <v>45</v>
      </c>
      <c r="AF16">
        <v>180612</v>
      </c>
      <c r="AG16" t="s">
        <v>166</v>
      </c>
      <c r="AH16" t="s">
        <v>165</v>
      </c>
      <c r="AI16">
        <v>60</v>
      </c>
      <c r="AK16">
        <v>180612</v>
      </c>
      <c r="AL16" t="s">
        <v>170</v>
      </c>
      <c r="AM16" t="s">
        <v>165</v>
      </c>
      <c r="AN16">
        <v>60</v>
      </c>
    </row>
    <row r="17" spans="1:40" x14ac:dyDescent="0.25">
      <c r="A17" t="s">
        <v>17</v>
      </c>
      <c r="B17">
        <v>180601</v>
      </c>
      <c r="C17" t="s">
        <v>184</v>
      </c>
      <c r="D17" t="s">
        <v>163</v>
      </c>
      <c r="E17">
        <v>30</v>
      </c>
      <c r="G17">
        <v>180601</v>
      </c>
      <c r="H17" t="s">
        <v>186</v>
      </c>
      <c r="I17" t="s">
        <v>163</v>
      </c>
      <c r="J17">
        <v>30</v>
      </c>
      <c r="L17" s="4">
        <v>180820</v>
      </c>
      <c r="N17" s="4" t="s">
        <v>203</v>
      </c>
      <c r="O17" s="7">
        <v>30</v>
      </c>
      <c r="Q17">
        <v>180611</v>
      </c>
      <c r="R17" t="s">
        <v>190</v>
      </c>
      <c r="S17" t="s">
        <v>164</v>
      </c>
      <c r="T17">
        <v>45</v>
      </c>
      <c r="V17">
        <v>180611</v>
      </c>
      <c r="W17" t="s">
        <v>197</v>
      </c>
      <c r="X17" t="s">
        <v>164</v>
      </c>
      <c r="Y17">
        <v>45</v>
      </c>
      <c r="AA17" s="4">
        <v>180820</v>
      </c>
      <c r="AC17" s="4" t="s">
        <v>203</v>
      </c>
      <c r="AD17" s="7">
        <v>45</v>
      </c>
      <c r="AF17">
        <v>180612</v>
      </c>
      <c r="AG17" t="s">
        <v>167</v>
      </c>
      <c r="AH17" t="s">
        <v>165</v>
      </c>
      <c r="AI17">
        <v>60</v>
      </c>
      <c r="AK17">
        <v>180612</v>
      </c>
      <c r="AL17" t="s">
        <v>171</v>
      </c>
      <c r="AM17" t="s">
        <v>165</v>
      </c>
      <c r="AN17">
        <v>60</v>
      </c>
    </row>
    <row r="18" spans="1:40" x14ac:dyDescent="0.25">
      <c r="A18" t="s">
        <v>18</v>
      </c>
      <c r="B18">
        <v>180601</v>
      </c>
      <c r="C18" t="s">
        <v>176</v>
      </c>
      <c r="D18" t="s">
        <v>163</v>
      </c>
      <c r="E18">
        <v>12</v>
      </c>
      <c r="G18">
        <v>180601</v>
      </c>
      <c r="H18" t="s">
        <v>181</v>
      </c>
      <c r="I18" t="s">
        <v>163</v>
      </c>
      <c r="J18">
        <v>12</v>
      </c>
      <c r="L18" s="4">
        <v>180820</v>
      </c>
      <c r="N18" s="4" t="s">
        <v>203</v>
      </c>
      <c r="O18" s="7">
        <v>12</v>
      </c>
      <c r="Q18">
        <v>180611</v>
      </c>
      <c r="R18" t="s">
        <v>191</v>
      </c>
      <c r="S18" t="s">
        <v>164</v>
      </c>
      <c r="T18">
        <v>26</v>
      </c>
      <c r="V18">
        <v>180611</v>
      </c>
      <c r="W18" t="s">
        <v>198</v>
      </c>
      <c r="X18" t="s">
        <v>164</v>
      </c>
      <c r="Y18">
        <v>26</v>
      </c>
      <c r="AA18" s="4">
        <v>180820</v>
      </c>
      <c r="AC18" s="4" t="s">
        <v>203</v>
      </c>
      <c r="AD18" s="7">
        <v>26</v>
      </c>
      <c r="AF18">
        <v>180612</v>
      </c>
      <c r="AG18" t="s">
        <v>167</v>
      </c>
      <c r="AH18" t="s">
        <v>165</v>
      </c>
      <c r="AI18">
        <v>60</v>
      </c>
      <c r="AK18">
        <v>180612</v>
      </c>
      <c r="AL18" t="s">
        <v>171</v>
      </c>
      <c r="AM18" t="s">
        <v>165</v>
      </c>
      <c r="AN18">
        <v>60</v>
      </c>
    </row>
    <row r="19" spans="1:40" x14ac:dyDescent="0.25">
      <c r="A19" t="s">
        <v>19</v>
      </c>
      <c r="B19">
        <v>180601</v>
      </c>
      <c r="C19" t="s">
        <v>176</v>
      </c>
      <c r="D19" t="s">
        <v>163</v>
      </c>
      <c r="E19">
        <v>12</v>
      </c>
      <c r="G19">
        <v>180601</v>
      </c>
      <c r="H19" t="s">
        <v>181</v>
      </c>
      <c r="I19" t="s">
        <v>163</v>
      </c>
      <c r="J19">
        <v>12</v>
      </c>
      <c r="L19" s="4">
        <v>180820</v>
      </c>
      <c r="N19" s="4" t="s">
        <v>203</v>
      </c>
      <c r="O19" s="7">
        <v>12</v>
      </c>
      <c r="Q19">
        <v>180611</v>
      </c>
      <c r="R19" t="s">
        <v>191</v>
      </c>
      <c r="S19" t="s">
        <v>164</v>
      </c>
      <c r="T19">
        <v>26</v>
      </c>
      <c r="V19">
        <v>180611</v>
      </c>
      <c r="W19" t="s">
        <v>198</v>
      </c>
      <c r="X19" t="s">
        <v>164</v>
      </c>
      <c r="Y19">
        <v>26</v>
      </c>
      <c r="AA19" s="4">
        <v>180820</v>
      </c>
      <c r="AC19" s="4" t="s">
        <v>203</v>
      </c>
      <c r="AD19" s="7">
        <v>26</v>
      </c>
      <c r="AF19">
        <v>180612</v>
      </c>
      <c r="AG19" t="s">
        <v>167</v>
      </c>
      <c r="AH19" t="s">
        <v>165</v>
      </c>
      <c r="AI19">
        <v>60</v>
      </c>
      <c r="AK19">
        <v>180612</v>
      </c>
      <c r="AL19" t="s">
        <v>171</v>
      </c>
      <c r="AM19" t="s">
        <v>165</v>
      </c>
      <c r="AN19">
        <v>60</v>
      </c>
    </row>
    <row r="20" spans="1:40" x14ac:dyDescent="0.25">
      <c r="A20" t="s">
        <v>20</v>
      </c>
      <c r="B20">
        <v>180601</v>
      </c>
      <c r="C20" t="s">
        <v>174</v>
      </c>
      <c r="D20" t="s">
        <v>163</v>
      </c>
      <c r="E20">
        <v>12</v>
      </c>
      <c r="G20">
        <v>180601</v>
      </c>
      <c r="H20" t="s">
        <v>179</v>
      </c>
      <c r="I20" t="s">
        <v>163</v>
      </c>
      <c r="J20">
        <v>12</v>
      </c>
      <c r="L20" s="4">
        <v>180820</v>
      </c>
      <c r="N20" s="4" t="s">
        <v>203</v>
      </c>
      <c r="O20" s="7">
        <v>12</v>
      </c>
      <c r="Q20">
        <v>180611</v>
      </c>
      <c r="R20" t="s">
        <v>188</v>
      </c>
      <c r="S20" t="s">
        <v>164</v>
      </c>
      <c r="T20">
        <v>26</v>
      </c>
      <c r="V20">
        <v>180611</v>
      </c>
      <c r="W20" t="s">
        <v>195</v>
      </c>
      <c r="X20" t="s">
        <v>164</v>
      </c>
      <c r="Y20">
        <v>26</v>
      </c>
      <c r="AA20" s="4">
        <v>180820</v>
      </c>
      <c r="AC20" s="4" t="s">
        <v>203</v>
      </c>
      <c r="AD20" s="7">
        <v>26</v>
      </c>
      <c r="AF20">
        <v>180612</v>
      </c>
      <c r="AG20" t="s">
        <v>167</v>
      </c>
      <c r="AH20" t="s">
        <v>165</v>
      </c>
      <c r="AI20">
        <v>60</v>
      </c>
      <c r="AK20">
        <v>180612</v>
      </c>
      <c r="AL20" t="s">
        <v>171</v>
      </c>
      <c r="AM20" t="s">
        <v>165</v>
      </c>
      <c r="AN20">
        <v>60</v>
      </c>
    </row>
    <row r="21" spans="1:40" x14ac:dyDescent="0.25">
      <c r="A21" t="s">
        <v>21</v>
      </c>
      <c r="B21">
        <v>180601</v>
      </c>
      <c r="C21" t="s">
        <v>174</v>
      </c>
      <c r="D21" t="s">
        <v>163</v>
      </c>
      <c r="E21">
        <v>12</v>
      </c>
      <c r="G21">
        <v>180601</v>
      </c>
      <c r="H21" t="s">
        <v>179</v>
      </c>
      <c r="I21" t="s">
        <v>163</v>
      </c>
      <c r="J21">
        <v>12</v>
      </c>
      <c r="L21" s="4">
        <v>180830</v>
      </c>
      <c r="N21" s="4" t="s">
        <v>205</v>
      </c>
      <c r="O21" s="7">
        <v>12</v>
      </c>
      <c r="Q21">
        <v>180611</v>
      </c>
      <c r="R21" t="s">
        <v>188</v>
      </c>
      <c r="S21" t="s">
        <v>164</v>
      </c>
      <c r="T21">
        <v>26</v>
      </c>
      <c r="V21">
        <v>180611</v>
      </c>
      <c r="W21" t="s">
        <v>195</v>
      </c>
      <c r="X21" t="s">
        <v>164</v>
      </c>
      <c r="Y21">
        <v>26</v>
      </c>
      <c r="AA21" s="4">
        <v>180830</v>
      </c>
      <c r="AC21" s="4" t="s">
        <v>205</v>
      </c>
      <c r="AD21" s="7">
        <v>26</v>
      </c>
      <c r="AF21">
        <v>180612</v>
      </c>
      <c r="AG21" t="s">
        <v>168</v>
      </c>
      <c r="AH21" t="s">
        <v>165</v>
      </c>
      <c r="AI21">
        <v>60</v>
      </c>
      <c r="AK21">
        <v>180612</v>
      </c>
      <c r="AL21" t="s">
        <v>172</v>
      </c>
      <c r="AM21" t="s">
        <v>165</v>
      </c>
      <c r="AN21">
        <v>60</v>
      </c>
    </row>
    <row r="22" spans="1:40" x14ac:dyDescent="0.25">
      <c r="A22" t="s">
        <v>22</v>
      </c>
      <c r="B22">
        <v>180601</v>
      </c>
      <c r="C22" t="s">
        <v>174</v>
      </c>
      <c r="D22" t="s">
        <v>163</v>
      </c>
      <c r="E22">
        <v>12</v>
      </c>
      <c r="G22">
        <v>180601</v>
      </c>
      <c r="H22" t="s">
        <v>179</v>
      </c>
      <c r="I22" t="s">
        <v>163</v>
      </c>
      <c r="J22">
        <v>12</v>
      </c>
      <c r="L22" s="4">
        <v>180830</v>
      </c>
      <c r="N22" s="4" t="s">
        <v>205</v>
      </c>
      <c r="O22" s="7">
        <v>12</v>
      </c>
      <c r="Q22">
        <v>180611</v>
      </c>
      <c r="R22" t="s">
        <v>188</v>
      </c>
      <c r="S22" t="s">
        <v>164</v>
      </c>
      <c r="T22">
        <v>26</v>
      </c>
      <c r="V22">
        <v>180611</v>
      </c>
      <c r="W22" t="s">
        <v>195</v>
      </c>
      <c r="X22" t="s">
        <v>164</v>
      </c>
      <c r="Y22">
        <v>26</v>
      </c>
      <c r="AA22" s="4">
        <v>180830</v>
      </c>
      <c r="AC22" s="4" t="s">
        <v>205</v>
      </c>
      <c r="AD22" s="7">
        <v>26</v>
      </c>
      <c r="AF22">
        <v>180612</v>
      </c>
      <c r="AG22" t="s">
        <v>168</v>
      </c>
      <c r="AH22" t="s">
        <v>165</v>
      </c>
      <c r="AI22">
        <v>60</v>
      </c>
      <c r="AK22">
        <v>180612</v>
      </c>
      <c r="AL22" t="s">
        <v>172</v>
      </c>
      <c r="AM22" t="s">
        <v>165</v>
      </c>
      <c r="AN22">
        <v>60</v>
      </c>
    </row>
    <row r="23" spans="1:40" x14ac:dyDescent="0.25">
      <c r="A23" t="s">
        <v>23</v>
      </c>
      <c r="B23">
        <v>180601</v>
      </c>
      <c r="C23" t="s">
        <v>174</v>
      </c>
      <c r="D23" t="s">
        <v>163</v>
      </c>
      <c r="E23">
        <v>12</v>
      </c>
      <c r="G23">
        <v>180601</v>
      </c>
      <c r="H23" t="s">
        <v>179</v>
      </c>
      <c r="I23" t="s">
        <v>163</v>
      </c>
      <c r="J23">
        <v>12</v>
      </c>
      <c r="L23" s="4">
        <v>180830</v>
      </c>
      <c r="N23" s="4" t="s">
        <v>205</v>
      </c>
      <c r="O23" s="7">
        <v>12</v>
      </c>
      <c r="Q23">
        <v>180611</v>
      </c>
      <c r="R23" t="s">
        <v>188</v>
      </c>
      <c r="S23" t="s">
        <v>164</v>
      </c>
      <c r="T23">
        <v>26</v>
      </c>
      <c r="V23">
        <v>180611</v>
      </c>
      <c r="W23" t="s">
        <v>195</v>
      </c>
      <c r="X23" t="s">
        <v>164</v>
      </c>
      <c r="Y23">
        <v>26</v>
      </c>
      <c r="AA23" s="4">
        <v>180830</v>
      </c>
      <c r="AC23" s="4" t="s">
        <v>205</v>
      </c>
      <c r="AD23" s="7">
        <v>26</v>
      </c>
      <c r="AF23">
        <v>180612</v>
      </c>
      <c r="AG23" t="s">
        <v>168</v>
      </c>
      <c r="AH23" t="s">
        <v>165</v>
      </c>
      <c r="AI23">
        <v>60</v>
      </c>
      <c r="AK23">
        <v>180612</v>
      </c>
      <c r="AL23" t="s">
        <v>172</v>
      </c>
      <c r="AM23" t="s">
        <v>165</v>
      </c>
      <c r="AN23">
        <v>60</v>
      </c>
    </row>
    <row r="24" spans="1:40" x14ac:dyDescent="0.25">
      <c r="A24" t="s">
        <v>24</v>
      </c>
      <c r="B24">
        <v>180601</v>
      </c>
      <c r="C24" t="s">
        <v>174</v>
      </c>
      <c r="D24" t="s">
        <v>163</v>
      </c>
      <c r="E24">
        <v>12</v>
      </c>
      <c r="G24">
        <v>180601</v>
      </c>
      <c r="H24" t="s">
        <v>179</v>
      </c>
      <c r="I24" t="s">
        <v>163</v>
      </c>
      <c r="J24">
        <v>12</v>
      </c>
      <c r="L24" s="4">
        <v>180830</v>
      </c>
      <c r="N24" s="4" t="s">
        <v>205</v>
      </c>
      <c r="O24" s="7">
        <v>12</v>
      </c>
      <c r="Q24">
        <v>180611</v>
      </c>
      <c r="R24" t="s">
        <v>188</v>
      </c>
      <c r="S24" t="s">
        <v>164</v>
      </c>
      <c r="T24">
        <v>26</v>
      </c>
      <c r="V24">
        <v>180611</v>
      </c>
      <c r="W24" t="s">
        <v>195</v>
      </c>
      <c r="X24" t="s">
        <v>164</v>
      </c>
      <c r="Y24">
        <v>26</v>
      </c>
      <c r="AA24" s="4">
        <v>180830</v>
      </c>
      <c r="AC24" s="4" t="s">
        <v>205</v>
      </c>
      <c r="AD24" s="7">
        <v>26</v>
      </c>
      <c r="AF24">
        <v>180612</v>
      </c>
      <c r="AG24" t="s">
        <v>168</v>
      </c>
      <c r="AH24" t="s">
        <v>165</v>
      </c>
      <c r="AI24">
        <v>60</v>
      </c>
      <c r="AK24">
        <v>180612</v>
      </c>
      <c r="AL24" t="s">
        <v>172</v>
      </c>
      <c r="AM24" t="s">
        <v>165</v>
      </c>
      <c r="AN24">
        <v>60</v>
      </c>
    </row>
    <row r="25" spans="1:40" x14ac:dyDescent="0.25">
      <c r="A25" t="s">
        <v>25</v>
      </c>
      <c r="B25">
        <v>180601</v>
      </c>
      <c r="C25" t="s">
        <v>174</v>
      </c>
      <c r="D25" t="s">
        <v>163</v>
      </c>
      <c r="E25">
        <v>12</v>
      </c>
      <c r="G25">
        <v>180601</v>
      </c>
      <c r="H25" t="s">
        <v>179</v>
      </c>
      <c r="I25" t="s">
        <v>163</v>
      </c>
      <c r="J25">
        <v>12</v>
      </c>
      <c r="L25" s="4">
        <v>180840</v>
      </c>
      <c r="N25" s="4" t="s">
        <v>204</v>
      </c>
      <c r="O25" s="7">
        <v>12</v>
      </c>
      <c r="Q25">
        <v>180611</v>
      </c>
      <c r="R25" t="s">
        <v>188</v>
      </c>
      <c r="S25" t="s">
        <v>164</v>
      </c>
      <c r="T25">
        <v>26</v>
      </c>
      <c r="V25">
        <v>180611</v>
      </c>
      <c r="W25" t="s">
        <v>195</v>
      </c>
      <c r="X25" t="s">
        <v>164</v>
      </c>
      <c r="Y25">
        <v>26</v>
      </c>
      <c r="AA25" s="4">
        <v>180840</v>
      </c>
      <c r="AC25" s="4" t="s">
        <v>204</v>
      </c>
      <c r="AD25" s="7">
        <v>26</v>
      </c>
      <c r="AF25">
        <v>180612</v>
      </c>
      <c r="AG25" t="s">
        <v>166</v>
      </c>
      <c r="AH25" t="s">
        <v>165</v>
      </c>
      <c r="AI25">
        <v>60</v>
      </c>
      <c r="AK25">
        <v>180612</v>
      </c>
      <c r="AL25" t="s">
        <v>170</v>
      </c>
      <c r="AM25" t="s">
        <v>165</v>
      </c>
      <c r="AN25">
        <v>60</v>
      </c>
    </row>
    <row r="26" spans="1:40" x14ac:dyDescent="0.25">
      <c r="A26" t="s">
        <v>26</v>
      </c>
      <c r="B26">
        <v>180601</v>
      </c>
      <c r="C26" t="s">
        <v>174</v>
      </c>
      <c r="D26" t="s">
        <v>163</v>
      </c>
      <c r="E26">
        <v>12</v>
      </c>
      <c r="G26">
        <v>180601</v>
      </c>
      <c r="H26" t="s">
        <v>179</v>
      </c>
      <c r="I26" t="s">
        <v>163</v>
      </c>
      <c r="J26">
        <v>12</v>
      </c>
      <c r="L26" s="4">
        <v>180840</v>
      </c>
      <c r="N26" s="4" t="s">
        <v>204</v>
      </c>
      <c r="O26" s="7">
        <v>12</v>
      </c>
      <c r="Q26">
        <v>180611</v>
      </c>
      <c r="R26" t="s">
        <v>188</v>
      </c>
      <c r="S26" t="s">
        <v>164</v>
      </c>
      <c r="T26">
        <v>26</v>
      </c>
      <c r="V26">
        <v>180611</v>
      </c>
      <c r="W26" t="s">
        <v>195</v>
      </c>
      <c r="X26" t="s">
        <v>164</v>
      </c>
      <c r="Y26">
        <v>26</v>
      </c>
      <c r="AA26" s="4">
        <v>180840</v>
      </c>
      <c r="AC26" s="4" t="s">
        <v>204</v>
      </c>
      <c r="AD26" s="7">
        <v>26</v>
      </c>
      <c r="AF26">
        <v>180612</v>
      </c>
      <c r="AG26" t="s">
        <v>166</v>
      </c>
      <c r="AH26" t="s">
        <v>165</v>
      </c>
      <c r="AI26">
        <v>60</v>
      </c>
      <c r="AK26">
        <v>180612</v>
      </c>
      <c r="AL26" t="s">
        <v>170</v>
      </c>
      <c r="AM26" t="s">
        <v>165</v>
      </c>
      <c r="AN26">
        <v>60</v>
      </c>
    </row>
    <row r="27" spans="1:40" x14ac:dyDescent="0.25">
      <c r="A27" t="s">
        <v>27</v>
      </c>
      <c r="B27">
        <v>180601</v>
      </c>
      <c r="C27" t="s">
        <v>174</v>
      </c>
      <c r="D27" t="s">
        <v>163</v>
      </c>
      <c r="E27">
        <v>12</v>
      </c>
      <c r="G27">
        <v>180601</v>
      </c>
      <c r="H27" t="s">
        <v>179</v>
      </c>
      <c r="I27" t="s">
        <v>163</v>
      </c>
      <c r="J27">
        <v>12</v>
      </c>
      <c r="L27" s="4">
        <v>180840</v>
      </c>
      <c r="N27" s="4" t="s">
        <v>204</v>
      </c>
      <c r="O27" s="7">
        <v>12</v>
      </c>
      <c r="Q27">
        <v>180611</v>
      </c>
      <c r="R27" t="s">
        <v>188</v>
      </c>
      <c r="S27" t="s">
        <v>164</v>
      </c>
      <c r="T27">
        <v>26</v>
      </c>
      <c r="V27">
        <v>180611</v>
      </c>
      <c r="W27" t="s">
        <v>195</v>
      </c>
      <c r="X27" t="s">
        <v>164</v>
      </c>
      <c r="Y27">
        <v>26</v>
      </c>
      <c r="AA27" s="4">
        <v>180840</v>
      </c>
      <c r="AC27" s="4" t="s">
        <v>204</v>
      </c>
      <c r="AD27" s="7">
        <v>26</v>
      </c>
      <c r="AF27">
        <v>180612</v>
      </c>
      <c r="AG27" t="s">
        <v>166</v>
      </c>
      <c r="AH27" t="s">
        <v>165</v>
      </c>
      <c r="AI27">
        <v>60</v>
      </c>
      <c r="AK27">
        <v>180612</v>
      </c>
      <c r="AL27" t="s">
        <v>170</v>
      </c>
      <c r="AM27" t="s">
        <v>165</v>
      </c>
      <c r="AN27">
        <v>60</v>
      </c>
    </row>
    <row r="28" spans="1:40" x14ac:dyDescent="0.25">
      <c r="A28" t="s">
        <v>28</v>
      </c>
      <c r="B28">
        <v>180601</v>
      </c>
      <c r="C28" t="s">
        <v>174</v>
      </c>
      <c r="D28" t="s">
        <v>163</v>
      </c>
      <c r="E28">
        <v>12</v>
      </c>
      <c r="G28">
        <v>180601</v>
      </c>
      <c r="H28" t="s">
        <v>179</v>
      </c>
      <c r="I28" t="s">
        <v>163</v>
      </c>
      <c r="J28">
        <v>12</v>
      </c>
      <c r="L28" s="4">
        <v>180840</v>
      </c>
      <c r="N28" s="4" t="s">
        <v>204</v>
      </c>
      <c r="O28" s="7">
        <v>12</v>
      </c>
      <c r="Q28">
        <v>180611</v>
      </c>
      <c r="R28" t="s">
        <v>188</v>
      </c>
      <c r="S28" t="s">
        <v>164</v>
      </c>
      <c r="T28">
        <v>26</v>
      </c>
      <c r="V28">
        <v>180611</v>
      </c>
      <c r="W28" t="s">
        <v>195</v>
      </c>
      <c r="X28" t="s">
        <v>164</v>
      </c>
      <c r="Y28">
        <v>26</v>
      </c>
      <c r="AA28" s="4">
        <v>180840</v>
      </c>
      <c r="AC28" s="4" t="s">
        <v>204</v>
      </c>
      <c r="AD28" s="7">
        <v>26</v>
      </c>
      <c r="AF28">
        <v>180612</v>
      </c>
      <c r="AG28" t="s">
        <v>166</v>
      </c>
      <c r="AH28" t="s">
        <v>165</v>
      </c>
      <c r="AI28">
        <v>60</v>
      </c>
      <c r="AK28">
        <v>180612</v>
      </c>
      <c r="AL28" t="s">
        <v>170</v>
      </c>
      <c r="AM28" t="s">
        <v>165</v>
      </c>
      <c r="AN28">
        <v>60</v>
      </c>
    </row>
    <row r="29" spans="1:40" x14ac:dyDescent="0.25">
      <c r="A29" t="s">
        <v>29</v>
      </c>
      <c r="B29">
        <v>180601</v>
      </c>
      <c r="C29" t="s">
        <v>178</v>
      </c>
      <c r="D29" t="s">
        <v>163</v>
      </c>
      <c r="E29">
        <v>12</v>
      </c>
      <c r="G29">
        <v>180601</v>
      </c>
      <c r="H29" t="s">
        <v>182</v>
      </c>
      <c r="I29" t="s">
        <v>163</v>
      </c>
      <c r="J29">
        <v>12</v>
      </c>
      <c r="L29" s="4">
        <v>180850</v>
      </c>
      <c r="N29" s="4" t="s">
        <v>206</v>
      </c>
      <c r="O29" s="7">
        <v>12</v>
      </c>
      <c r="Q29">
        <v>180611</v>
      </c>
      <c r="R29" t="s">
        <v>192</v>
      </c>
      <c r="S29" t="s">
        <v>164</v>
      </c>
      <c r="T29">
        <v>26</v>
      </c>
      <c r="V29">
        <v>180611</v>
      </c>
      <c r="W29" t="s">
        <v>199</v>
      </c>
      <c r="X29" t="s">
        <v>164</v>
      </c>
      <c r="Y29">
        <v>26</v>
      </c>
      <c r="AA29" s="4">
        <v>180850</v>
      </c>
      <c r="AC29" s="4" t="s">
        <v>206</v>
      </c>
      <c r="AD29" s="7">
        <v>26</v>
      </c>
      <c r="AF29">
        <v>180612</v>
      </c>
      <c r="AG29" t="s">
        <v>169</v>
      </c>
      <c r="AH29" t="s">
        <v>165</v>
      </c>
      <c r="AI29">
        <v>60</v>
      </c>
      <c r="AK29">
        <v>180612</v>
      </c>
      <c r="AL29" t="s">
        <v>173</v>
      </c>
      <c r="AM29" t="s">
        <v>165</v>
      </c>
      <c r="AN29">
        <v>60</v>
      </c>
    </row>
    <row r="30" spans="1:40" x14ac:dyDescent="0.25">
      <c r="A30" t="s">
        <v>30</v>
      </c>
      <c r="B30">
        <v>180601</v>
      </c>
      <c r="C30" t="s">
        <v>178</v>
      </c>
      <c r="D30" t="s">
        <v>163</v>
      </c>
      <c r="E30">
        <v>12</v>
      </c>
      <c r="G30">
        <v>180601</v>
      </c>
      <c r="H30" t="s">
        <v>182</v>
      </c>
      <c r="I30" t="s">
        <v>163</v>
      </c>
      <c r="J30">
        <v>12</v>
      </c>
      <c r="L30" s="4">
        <v>180850</v>
      </c>
      <c r="N30" s="4" t="s">
        <v>206</v>
      </c>
      <c r="O30" s="7">
        <v>12</v>
      </c>
      <c r="Q30">
        <v>180611</v>
      </c>
      <c r="R30" t="s">
        <v>192</v>
      </c>
      <c r="S30" t="s">
        <v>164</v>
      </c>
      <c r="T30">
        <v>26</v>
      </c>
      <c r="V30">
        <v>180611</v>
      </c>
      <c r="W30" t="s">
        <v>199</v>
      </c>
      <c r="X30" t="s">
        <v>164</v>
      </c>
      <c r="Y30">
        <v>26</v>
      </c>
      <c r="AA30" s="4">
        <v>180850</v>
      </c>
      <c r="AC30" s="4" t="s">
        <v>206</v>
      </c>
      <c r="AD30" s="7">
        <v>26</v>
      </c>
      <c r="AF30">
        <v>180612</v>
      </c>
      <c r="AG30" t="s">
        <v>169</v>
      </c>
      <c r="AH30" t="s">
        <v>165</v>
      </c>
      <c r="AI30">
        <v>60</v>
      </c>
      <c r="AK30">
        <v>180612</v>
      </c>
      <c r="AL30" t="s">
        <v>173</v>
      </c>
      <c r="AM30" t="s">
        <v>165</v>
      </c>
      <c r="AN30">
        <v>60</v>
      </c>
    </row>
    <row r="31" spans="1:40" x14ac:dyDescent="0.25">
      <c r="A31" t="s">
        <v>31</v>
      </c>
      <c r="B31">
        <v>180601</v>
      </c>
      <c r="C31" t="s">
        <v>185</v>
      </c>
      <c r="D31" t="s">
        <v>163</v>
      </c>
      <c r="E31">
        <v>30</v>
      </c>
      <c r="G31">
        <v>180601</v>
      </c>
      <c r="H31" t="s">
        <v>187</v>
      </c>
      <c r="I31" t="s">
        <v>163</v>
      </c>
      <c r="J31">
        <v>30</v>
      </c>
      <c r="L31" s="4">
        <v>180820</v>
      </c>
      <c r="N31" s="4" t="s">
        <v>203</v>
      </c>
      <c r="O31" s="7">
        <v>30</v>
      </c>
      <c r="Q31">
        <v>180611</v>
      </c>
      <c r="R31" t="s">
        <v>193</v>
      </c>
      <c r="S31" t="s">
        <v>164</v>
      </c>
      <c r="T31">
        <v>45</v>
      </c>
      <c r="V31">
        <v>180611</v>
      </c>
      <c r="W31" t="s">
        <v>200</v>
      </c>
      <c r="X31" t="s">
        <v>164</v>
      </c>
      <c r="Y31">
        <v>45</v>
      </c>
      <c r="AA31" s="4">
        <v>180820</v>
      </c>
      <c r="AC31" s="4" t="s">
        <v>203</v>
      </c>
      <c r="AD31" s="7">
        <v>45</v>
      </c>
      <c r="AF31">
        <v>180612</v>
      </c>
      <c r="AG31" t="s">
        <v>167</v>
      </c>
      <c r="AH31" t="s">
        <v>165</v>
      </c>
      <c r="AI31">
        <v>60</v>
      </c>
      <c r="AK31">
        <v>180612</v>
      </c>
      <c r="AL31" t="s">
        <v>171</v>
      </c>
      <c r="AM31" t="s">
        <v>165</v>
      </c>
      <c r="AN31">
        <v>60</v>
      </c>
    </row>
    <row r="32" spans="1:40" x14ac:dyDescent="0.25">
      <c r="A32" t="s">
        <v>32</v>
      </c>
      <c r="B32">
        <v>180601</v>
      </c>
      <c r="C32" t="s">
        <v>177</v>
      </c>
      <c r="D32" t="s">
        <v>163</v>
      </c>
      <c r="E32">
        <v>12</v>
      </c>
      <c r="G32">
        <v>180601</v>
      </c>
      <c r="H32" t="s">
        <v>183</v>
      </c>
      <c r="I32" t="s">
        <v>163</v>
      </c>
      <c r="J32">
        <v>12</v>
      </c>
      <c r="L32" s="4">
        <v>180820</v>
      </c>
      <c r="N32" s="4" t="s">
        <v>203</v>
      </c>
      <c r="O32" s="7">
        <v>12</v>
      </c>
      <c r="Q32">
        <v>180611</v>
      </c>
      <c r="R32" t="s">
        <v>194</v>
      </c>
      <c r="S32" t="s">
        <v>164</v>
      </c>
      <c r="T32">
        <v>26</v>
      </c>
      <c r="V32">
        <v>180611</v>
      </c>
      <c r="W32" t="s">
        <v>201</v>
      </c>
      <c r="X32" t="s">
        <v>164</v>
      </c>
      <c r="Y32">
        <v>26</v>
      </c>
      <c r="AA32" s="4">
        <v>180820</v>
      </c>
      <c r="AC32" s="4" t="s">
        <v>203</v>
      </c>
      <c r="AD32" s="7">
        <v>26</v>
      </c>
      <c r="AF32">
        <v>180612</v>
      </c>
      <c r="AG32" t="s">
        <v>167</v>
      </c>
      <c r="AH32" t="s">
        <v>165</v>
      </c>
      <c r="AI32">
        <v>60</v>
      </c>
      <c r="AK32">
        <v>180612</v>
      </c>
      <c r="AL32" t="s">
        <v>171</v>
      </c>
      <c r="AM32" t="s">
        <v>165</v>
      </c>
      <c r="AN32">
        <v>60</v>
      </c>
    </row>
    <row r="33" spans="1:40" x14ac:dyDescent="0.25">
      <c r="A33" t="s">
        <v>33</v>
      </c>
      <c r="B33">
        <v>180601</v>
      </c>
      <c r="C33" t="s">
        <v>174</v>
      </c>
      <c r="D33" t="s">
        <v>163</v>
      </c>
      <c r="E33">
        <v>12</v>
      </c>
      <c r="G33">
        <v>180601</v>
      </c>
      <c r="H33" t="s">
        <v>179</v>
      </c>
      <c r="I33" t="s">
        <v>163</v>
      </c>
      <c r="J33">
        <v>12</v>
      </c>
      <c r="L33" s="4">
        <v>180840</v>
      </c>
      <c r="N33" s="4" t="s">
        <v>204</v>
      </c>
      <c r="O33" s="7">
        <v>12</v>
      </c>
      <c r="Q33">
        <v>180611</v>
      </c>
      <c r="R33" t="s">
        <v>188</v>
      </c>
      <c r="S33" t="s">
        <v>164</v>
      </c>
      <c r="T33">
        <v>26</v>
      </c>
      <c r="V33">
        <v>180611</v>
      </c>
      <c r="W33" t="s">
        <v>195</v>
      </c>
      <c r="X33" t="s">
        <v>164</v>
      </c>
      <c r="Y33">
        <v>26</v>
      </c>
      <c r="AA33" s="4">
        <v>180840</v>
      </c>
      <c r="AC33" s="4" t="s">
        <v>204</v>
      </c>
      <c r="AD33" s="7">
        <v>26</v>
      </c>
      <c r="AF33">
        <v>180612</v>
      </c>
      <c r="AG33" t="s">
        <v>166</v>
      </c>
      <c r="AH33" t="s">
        <v>165</v>
      </c>
      <c r="AI33">
        <v>60</v>
      </c>
      <c r="AK33">
        <v>180612</v>
      </c>
      <c r="AL33" t="s">
        <v>170</v>
      </c>
      <c r="AM33" t="s">
        <v>165</v>
      </c>
      <c r="AN33">
        <v>60</v>
      </c>
    </row>
    <row r="34" spans="1:40" x14ac:dyDescent="0.25">
      <c r="A34" t="s">
        <v>34</v>
      </c>
      <c r="B34">
        <v>180601</v>
      </c>
      <c r="C34" t="s">
        <v>174</v>
      </c>
      <c r="D34" t="s">
        <v>163</v>
      </c>
      <c r="E34">
        <v>12</v>
      </c>
      <c r="G34">
        <v>180601</v>
      </c>
      <c r="H34" t="s">
        <v>179</v>
      </c>
      <c r="I34" t="s">
        <v>163</v>
      </c>
      <c r="J34">
        <v>12</v>
      </c>
      <c r="L34" s="4">
        <v>180840</v>
      </c>
      <c r="N34" s="4" t="s">
        <v>204</v>
      </c>
      <c r="O34" s="7">
        <v>12</v>
      </c>
      <c r="Q34">
        <v>180611</v>
      </c>
      <c r="R34" t="s">
        <v>188</v>
      </c>
      <c r="S34" t="s">
        <v>164</v>
      </c>
      <c r="T34">
        <v>26</v>
      </c>
      <c r="V34">
        <v>180611</v>
      </c>
      <c r="W34" t="s">
        <v>195</v>
      </c>
      <c r="X34" t="s">
        <v>164</v>
      </c>
      <c r="Y34">
        <v>26</v>
      </c>
      <c r="AA34" s="4">
        <v>180840</v>
      </c>
      <c r="AC34" s="4" t="s">
        <v>204</v>
      </c>
      <c r="AD34" s="7">
        <v>26</v>
      </c>
      <c r="AF34">
        <v>180612</v>
      </c>
      <c r="AG34" t="s">
        <v>166</v>
      </c>
      <c r="AH34" t="s">
        <v>165</v>
      </c>
      <c r="AI34">
        <v>60</v>
      </c>
      <c r="AK34">
        <v>180612</v>
      </c>
      <c r="AL34" t="s">
        <v>170</v>
      </c>
      <c r="AM34" t="s">
        <v>165</v>
      </c>
      <c r="AN34">
        <v>60</v>
      </c>
    </row>
    <row r="35" spans="1:40" x14ac:dyDescent="0.25">
      <c r="A35" t="s">
        <v>35</v>
      </c>
      <c r="B35">
        <v>180601</v>
      </c>
      <c r="C35" t="s">
        <v>176</v>
      </c>
      <c r="D35" t="s">
        <v>163</v>
      </c>
      <c r="E35">
        <v>12</v>
      </c>
      <c r="G35">
        <v>180601</v>
      </c>
      <c r="H35" t="s">
        <v>181</v>
      </c>
      <c r="I35" t="s">
        <v>163</v>
      </c>
      <c r="J35">
        <v>12</v>
      </c>
      <c r="L35" s="4">
        <v>180840</v>
      </c>
      <c r="N35" s="4" t="s">
        <v>204</v>
      </c>
      <c r="O35" s="7">
        <v>12</v>
      </c>
      <c r="Q35">
        <v>180611</v>
      </c>
      <c r="R35" t="s">
        <v>191</v>
      </c>
      <c r="S35" t="s">
        <v>164</v>
      </c>
      <c r="T35">
        <v>26</v>
      </c>
      <c r="V35">
        <v>180611</v>
      </c>
      <c r="W35" t="s">
        <v>198</v>
      </c>
      <c r="X35" t="s">
        <v>164</v>
      </c>
      <c r="Y35">
        <v>26</v>
      </c>
      <c r="AA35" s="4">
        <v>180840</v>
      </c>
      <c r="AC35" s="4" t="s">
        <v>204</v>
      </c>
      <c r="AD35" s="7">
        <v>26</v>
      </c>
      <c r="AF35">
        <v>180612</v>
      </c>
      <c r="AG35" t="s">
        <v>166</v>
      </c>
      <c r="AH35" t="s">
        <v>165</v>
      </c>
      <c r="AI35">
        <v>60</v>
      </c>
      <c r="AK35">
        <v>180612</v>
      </c>
      <c r="AL35" t="s">
        <v>170</v>
      </c>
      <c r="AM35" t="s">
        <v>165</v>
      </c>
      <c r="AN35">
        <v>60</v>
      </c>
    </row>
    <row r="36" spans="1:40" x14ac:dyDescent="0.25">
      <c r="A36" t="s">
        <v>36</v>
      </c>
      <c r="B36">
        <v>180601</v>
      </c>
      <c r="C36" t="s">
        <v>174</v>
      </c>
      <c r="D36" t="s">
        <v>163</v>
      </c>
      <c r="E36">
        <v>12</v>
      </c>
      <c r="G36">
        <v>180601</v>
      </c>
      <c r="H36" t="s">
        <v>179</v>
      </c>
      <c r="I36" t="s">
        <v>163</v>
      </c>
      <c r="J36">
        <v>12</v>
      </c>
      <c r="L36" s="4">
        <v>180840</v>
      </c>
      <c r="N36" s="4" t="s">
        <v>204</v>
      </c>
      <c r="O36" s="7">
        <v>12</v>
      </c>
      <c r="Q36">
        <v>180611</v>
      </c>
      <c r="R36" t="s">
        <v>188</v>
      </c>
      <c r="S36" t="s">
        <v>164</v>
      </c>
      <c r="T36">
        <v>26</v>
      </c>
      <c r="V36">
        <v>180611</v>
      </c>
      <c r="W36" t="s">
        <v>195</v>
      </c>
      <c r="X36" t="s">
        <v>164</v>
      </c>
      <c r="Y36">
        <v>26</v>
      </c>
      <c r="AA36" s="4">
        <v>180840</v>
      </c>
      <c r="AC36" s="4" t="s">
        <v>204</v>
      </c>
      <c r="AD36" s="7">
        <v>26</v>
      </c>
      <c r="AF36">
        <v>180612</v>
      </c>
      <c r="AG36" t="s">
        <v>166</v>
      </c>
      <c r="AH36" t="s">
        <v>165</v>
      </c>
      <c r="AI36">
        <v>60</v>
      </c>
      <c r="AK36">
        <v>180612</v>
      </c>
      <c r="AL36" t="s">
        <v>170</v>
      </c>
      <c r="AM36" t="s">
        <v>165</v>
      </c>
      <c r="AN36">
        <v>60</v>
      </c>
    </row>
  </sheetData>
  <mergeCells count="8">
    <mergeCell ref="B2:F2"/>
    <mergeCell ref="AF2:AJ2"/>
    <mergeCell ref="AK2:AO2"/>
    <mergeCell ref="G2:K2"/>
    <mergeCell ref="B1:K1"/>
    <mergeCell ref="Q1:Z1"/>
    <mergeCell ref="Q2:U2"/>
    <mergeCell ref="V2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42"/>
  <sheetViews>
    <sheetView workbookViewId="0">
      <selection activeCell="D10" sqref="D10"/>
    </sheetView>
  </sheetViews>
  <sheetFormatPr defaultRowHeight="15" x14ac:dyDescent="0.25"/>
  <cols>
    <col min="1" max="1" width="9.140625" style="104"/>
    <col min="2" max="2" width="48.42578125" style="104" bestFit="1" customWidth="1"/>
    <col min="3" max="3" width="36.42578125" style="104" customWidth="1"/>
    <col min="4" max="4" width="33" style="104" customWidth="1"/>
    <col min="5" max="16384" width="9.140625" style="104"/>
  </cols>
  <sheetData>
    <row r="1" spans="1:29" x14ac:dyDescent="0.25">
      <c r="A1" s="111"/>
      <c r="B1" s="111" t="s">
        <v>595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</row>
    <row r="2" spans="1:29" x14ac:dyDescent="0.25">
      <c r="A2" s="111"/>
      <c r="B2" s="111" t="s">
        <v>596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x14ac:dyDescent="0.25">
      <c r="A3" s="111"/>
      <c r="B3" s="111" t="s">
        <v>593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</row>
    <row r="4" spans="1:29" x14ac:dyDescent="0.25">
      <c r="A4" s="111"/>
      <c r="B4" s="111" t="s">
        <v>594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</row>
    <row r="5" spans="1:29" x14ac:dyDescent="0.25">
      <c r="A5" s="111"/>
      <c r="B5" s="111" t="s">
        <v>599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</row>
    <row r="6" spans="1:29" x14ac:dyDescent="0.25">
      <c r="A6" s="111"/>
      <c r="B6" s="111" t="s">
        <v>597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</row>
    <row r="7" spans="1:29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9" x14ac:dyDescent="0.25">
      <c r="B8" s="105" t="s">
        <v>549</v>
      </c>
      <c r="C8" s="152" t="s">
        <v>2</v>
      </c>
      <c r="D8" s="105"/>
      <c r="E8" s="108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9" s="111" customFormat="1" ht="3" customHeight="1" x14ac:dyDescent="0.25">
      <c r="B9" s="106"/>
      <c r="C9" s="106"/>
      <c r="D9" s="106"/>
    </row>
    <row r="10" spans="1:29" x14ac:dyDescent="0.25">
      <c r="B10" s="105" t="s">
        <v>560</v>
      </c>
      <c r="C10" s="143" t="s">
        <v>570</v>
      </c>
      <c r="D10" s="105"/>
      <c r="E10" s="108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9" s="111" customFormat="1" ht="3" customHeight="1" x14ac:dyDescent="0.25">
      <c r="B11" s="106"/>
      <c r="C11" s="106"/>
      <c r="D11" s="106"/>
    </row>
    <row r="12" spans="1:29" x14ac:dyDescent="0.25">
      <c r="B12" s="105" t="s">
        <v>550</v>
      </c>
      <c r="C12" s="143">
        <v>200</v>
      </c>
      <c r="D12" s="105"/>
      <c r="E12" s="108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9" s="111" customFormat="1" ht="3.75" customHeight="1" x14ac:dyDescent="0.25">
      <c r="B13" s="106"/>
      <c r="C13" s="106"/>
      <c r="D13" s="106"/>
    </row>
    <row r="14" spans="1:29" x14ac:dyDescent="0.25">
      <c r="B14" s="105" t="s">
        <v>258</v>
      </c>
      <c r="C14" s="143" t="s">
        <v>297</v>
      </c>
      <c r="D14" s="235" t="s">
        <v>600</v>
      </c>
      <c r="E14" s="236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9" s="111" customFormat="1" ht="3" customHeight="1" x14ac:dyDescent="0.25">
      <c r="B15" s="106"/>
      <c r="C15" s="106"/>
      <c r="D15" s="235"/>
      <c r="E15" s="237"/>
    </row>
    <row r="16" spans="1:29" x14ac:dyDescent="0.25">
      <c r="B16" s="105" t="s">
        <v>574</v>
      </c>
      <c r="C16" s="105">
        <f>IF(C14="Custom Panel",E14,IF(C14="Mix-n-Match Panel",E14,VLOOKUP(C14,AllCatalogedPanels,12,FALSE)))</f>
        <v>21472</v>
      </c>
      <c r="D16" s="235"/>
      <c r="E16" s="238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1:28" s="111" customFormat="1" ht="3" customHeight="1" x14ac:dyDescent="0.25">
      <c r="B17" s="106"/>
      <c r="C17" s="106"/>
      <c r="D17" s="137"/>
      <c r="E17" s="138"/>
    </row>
    <row r="18" spans="1:28" x14ac:dyDescent="0.25">
      <c r="B18" s="224" t="s">
        <v>573</v>
      </c>
      <c r="C18" s="239">
        <v>1500</v>
      </c>
      <c r="D18" s="235" t="s">
        <v>592</v>
      </c>
      <c r="E18" s="235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</row>
    <row r="19" spans="1:28" s="111" customFormat="1" x14ac:dyDescent="0.25">
      <c r="B19" s="224"/>
      <c r="C19" s="240"/>
      <c r="D19" s="235"/>
      <c r="E19" s="235"/>
    </row>
    <row r="20" spans="1:28" s="111" customFormat="1" x14ac:dyDescent="0.25">
      <c r="B20" s="106"/>
      <c r="C20" s="106"/>
      <c r="D20" s="106"/>
    </row>
    <row r="21" spans="1:28" x14ac:dyDescent="0.25">
      <c r="B21" s="105" t="s">
        <v>575</v>
      </c>
      <c r="C21" s="139">
        <f>INDEX(SeqOutputs!C4:M14,MATCH(C12,SeqOutputs!B4:B14,0),MATCH(C10,SeqOutputs!C3:M3,0))</f>
        <v>800000000</v>
      </c>
      <c r="D21" s="105"/>
      <c r="E21" s="108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1:28" s="111" customFormat="1" ht="3" customHeight="1" x14ac:dyDescent="0.25">
      <c r="B22" s="106"/>
      <c r="C22" s="140"/>
      <c r="D22" s="106"/>
    </row>
    <row r="23" spans="1:28" x14ac:dyDescent="0.25">
      <c r="B23" s="105" t="s">
        <v>572</v>
      </c>
      <c r="C23" s="139">
        <f>C16*C18</f>
        <v>32208000</v>
      </c>
      <c r="D23" s="105"/>
      <c r="E23" s="108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1:28" s="111" customFormat="1" ht="3" customHeight="1" x14ac:dyDescent="0.25">
      <c r="B24" s="106"/>
      <c r="C24" s="140"/>
      <c r="D24" s="106"/>
    </row>
    <row r="25" spans="1:28" x14ac:dyDescent="0.25">
      <c r="B25" s="145" t="s">
        <v>576</v>
      </c>
      <c r="C25" s="146">
        <f>C21/C23</f>
        <v>24.838549428713364</v>
      </c>
      <c r="D25" s="105"/>
      <c r="E25" s="108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</row>
    <row r="26" spans="1:28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</row>
    <row r="27" spans="1:28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28" x14ac:dyDescent="0.25">
      <c r="A28" s="111"/>
      <c r="B28" s="141" t="s">
        <v>609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1:28" x14ac:dyDescent="0.2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28" x14ac:dyDescent="0.25">
      <c r="A30" s="111"/>
      <c r="B30" s="142" t="s">
        <v>582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1:28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</row>
    <row r="34" spans="1:28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</row>
    <row r="37" spans="1:28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</row>
    <row r="38" spans="1:28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</row>
    <row r="39" spans="1:28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</row>
    <row r="40" spans="1:28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</row>
    <row r="41" spans="1:28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</row>
    <row r="42" spans="1:28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</row>
  </sheetData>
  <sheetProtection password="F35B" sheet="1" objects="1" scenarios="1"/>
  <mergeCells count="5">
    <mergeCell ref="D14:D16"/>
    <mergeCell ref="E14:E16"/>
    <mergeCell ref="D18:E19"/>
    <mergeCell ref="B18:B19"/>
    <mergeCell ref="C18:C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Sheet13!$I$5:$I$6</xm:f>
          </x14:formula1>
          <xm:sqref>C8:C9</xm:sqref>
        </x14:dataValidation>
        <x14:dataValidation type="list" allowBlank="1" showInputMessage="1" showErrorMessage="1">
          <x14:formula1>
            <xm:f>Sheet13!$L$35:$L$45</xm:f>
          </x14:formula1>
          <xm:sqref>C10:C11</xm:sqref>
        </x14:dataValidation>
        <x14:dataValidation type="list" allowBlank="1" showInputMessage="1" showErrorMessage="1">
          <x14:formula1>
            <xm:f>Sheet13!$K$5:$K$15</xm:f>
          </x14:formula1>
          <xm:sqref>C12:C13</xm:sqref>
        </x14:dataValidation>
        <x14:dataValidation type="list" allowBlank="1" showInputMessage="1" showErrorMessage="1">
          <x14:formula1>
            <xm:f>Panels!$A$4:$A$20</xm:f>
          </x14:formula1>
          <xm:sqref>C14:C15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94"/>
  <sheetViews>
    <sheetView workbookViewId="0">
      <selection activeCell="B8" sqref="B8"/>
    </sheetView>
  </sheetViews>
  <sheetFormatPr defaultRowHeight="15" x14ac:dyDescent="0.25"/>
  <cols>
    <col min="1" max="1" width="14.7109375" bestFit="1" customWidth="1"/>
    <col min="2" max="2" width="36.42578125" bestFit="1" customWidth="1"/>
  </cols>
  <sheetData>
    <row r="1" spans="1:3" s="30" customFormat="1" ht="14.25" customHeight="1" x14ac:dyDescent="0.25">
      <c r="A1" s="38">
        <v>180432</v>
      </c>
      <c r="B1" s="29" t="s">
        <v>144</v>
      </c>
      <c r="C1" s="30">
        <v>12</v>
      </c>
    </row>
    <row r="2" spans="1:3" s="30" customFormat="1" ht="14.25" customHeight="1" x14ac:dyDescent="0.25">
      <c r="A2" s="38" t="s">
        <v>524</v>
      </c>
      <c r="B2" s="31" t="s">
        <v>305</v>
      </c>
      <c r="C2" s="30">
        <v>48</v>
      </c>
    </row>
    <row r="3" spans="1:3" s="30" customFormat="1" ht="14.25" customHeight="1" x14ac:dyDescent="0.25">
      <c r="A3" s="38" t="s">
        <v>525</v>
      </c>
      <c r="B3" s="29" t="s">
        <v>306</v>
      </c>
      <c r="C3" s="30">
        <v>100</v>
      </c>
    </row>
    <row r="4" spans="1:3" s="30" customFormat="1" ht="14.25" customHeight="1" x14ac:dyDescent="0.25">
      <c r="A4" s="38" t="s">
        <v>296</v>
      </c>
      <c r="B4" s="29" t="s">
        <v>145</v>
      </c>
      <c r="C4" s="30">
        <v>12</v>
      </c>
    </row>
    <row r="5" spans="1:3" s="30" customFormat="1" ht="14.25" customHeight="1" x14ac:dyDescent="0.25">
      <c r="A5" s="38" t="s">
        <v>526</v>
      </c>
      <c r="B5" s="29" t="s">
        <v>307</v>
      </c>
      <c r="C5" s="30">
        <v>100</v>
      </c>
    </row>
    <row r="6" spans="1:3" s="30" customFormat="1" ht="14.25" customHeight="1" x14ac:dyDescent="0.25">
      <c r="A6" s="38" t="s">
        <v>295</v>
      </c>
      <c r="B6" s="29" t="s">
        <v>308</v>
      </c>
      <c r="C6" s="30">
        <v>12</v>
      </c>
    </row>
    <row r="7" spans="1:3" s="30" customFormat="1" ht="14.25" customHeight="1" x14ac:dyDescent="0.25">
      <c r="A7" s="38" t="s">
        <v>527</v>
      </c>
      <c r="B7" s="29" t="s">
        <v>309</v>
      </c>
      <c r="C7" s="30">
        <v>12</v>
      </c>
    </row>
    <row r="8" spans="1:3" s="30" customFormat="1" ht="14.25" customHeight="1" x14ac:dyDescent="0.25">
      <c r="A8" s="39" t="s">
        <v>528</v>
      </c>
      <c r="B8" s="32" t="s">
        <v>310</v>
      </c>
      <c r="C8" s="30">
        <v>72</v>
      </c>
    </row>
    <row r="9" spans="1:3" s="30" customFormat="1" ht="14.25" customHeight="1" x14ac:dyDescent="0.25">
      <c r="A9" s="38" t="s">
        <v>529</v>
      </c>
      <c r="B9" s="31" t="s">
        <v>311</v>
      </c>
      <c r="C9" s="30">
        <v>144</v>
      </c>
    </row>
    <row r="10" spans="1:3" s="30" customFormat="1" ht="14.25" customHeight="1" x14ac:dyDescent="0.25">
      <c r="A10" s="38" t="s">
        <v>530</v>
      </c>
      <c r="B10" s="31" t="s">
        <v>312</v>
      </c>
      <c r="C10" s="30">
        <v>144</v>
      </c>
    </row>
    <row r="11" spans="1:3" s="30" customFormat="1" ht="14.25" customHeight="1" x14ac:dyDescent="0.25">
      <c r="A11" s="39" t="s">
        <v>531</v>
      </c>
      <c r="B11" s="32" t="s">
        <v>313</v>
      </c>
      <c r="C11" s="30">
        <v>72</v>
      </c>
    </row>
    <row r="12" spans="1:3" s="30" customFormat="1" ht="15" customHeight="1" x14ac:dyDescent="0.25">
      <c r="A12" t="s">
        <v>113</v>
      </c>
      <c r="B12" s="29" t="s">
        <v>118</v>
      </c>
      <c r="C12" s="30">
        <v>30</v>
      </c>
    </row>
    <row r="13" spans="1:3" s="30" customFormat="1" ht="15" customHeight="1" x14ac:dyDescent="0.25">
      <c r="A13" t="s">
        <v>112</v>
      </c>
      <c r="B13" s="29" t="s">
        <v>118</v>
      </c>
      <c r="C13" s="30">
        <v>30</v>
      </c>
    </row>
    <row r="14" spans="1:3" s="30" customFormat="1" ht="15" customHeight="1" x14ac:dyDescent="0.25">
      <c r="A14" t="s">
        <v>111</v>
      </c>
      <c r="B14" s="29" t="s">
        <v>118</v>
      </c>
      <c r="C14" s="30">
        <v>30</v>
      </c>
    </row>
    <row r="15" spans="1:3" s="30" customFormat="1" ht="15" customHeight="1" x14ac:dyDescent="0.25">
      <c r="A15" t="s">
        <v>116</v>
      </c>
      <c r="B15" s="29" t="s">
        <v>118</v>
      </c>
      <c r="C15" s="30">
        <v>30</v>
      </c>
    </row>
    <row r="16" spans="1:3" s="30" customFormat="1" ht="15" customHeight="1" x14ac:dyDescent="0.25">
      <c r="A16" t="s">
        <v>95</v>
      </c>
      <c r="B16" s="29" t="s">
        <v>118</v>
      </c>
      <c r="C16" s="30">
        <v>30</v>
      </c>
    </row>
    <row r="17" spans="1:3" s="30" customFormat="1" ht="15" customHeight="1" x14ac:dyDescent="0.25">
      <c r="A17" t="s">
        <v>108</v>
      </c>
      <c r="B17" s="29" t="s">
        <v>118</v>
      </c>
      <c r="C17" s="30">
        <v>30</v>
      </c>
    </row>
    <row r="18" spans="1:3" s="30" customFormat="1" ht="15" customHeight="1" x14ac:dyDescent="0.25">
      <c r="A18" t="s">
        <v>117</v>
      </c>
      <c r="B18" s="29" t="s">
        <v>118</v>
      </c>
      <c r="C18" s="30">
        <v>30</v>
      </c>
    </row>
    <row r="19" spans="1:3" s="30" customFormat="1" ht="15" customHeight="1" x14ac:dyDescent="0.25">
      <c r="A19" t="s">
        <v>110</v>
      </c>
      <c r="B19" s="29" t="s">
        <v>118</v>
      </c>
      <c r="C19" s="30">
        <v>30</v>
      </c>
    </row>
    <row r="20" spans="1:3" s="30" customFormat="1" ht="15" customHeight="1" x14ac:dyDescent="0.25">
      <c r="A20" t="s">
        <v>115</v>
      </c>
      <c r="B20" s="29" t="s">
        <v>118</v>
      </c>
      <c r="C20" s="30">
        <v>30</v>
      </c>
    </row>
    <row r="21" spans="1:3" s="30" customFormat="1" ht="15" customHeight="1" x14ac:dyDescent="0.25">
      <c r="A21" t="s">
        <v>109</v>
      </c>
      <c r="B21" s="29" t="s">
        <v>118</v>
      </c>
      <c r="C21" s="30">
        <v>30</v>
      </c>
    </row>
    <row r="22" spans="1:3" s="30" customFormat="1" ht="15" customHeight="1" x14ac:dyDescent="0.25">
      <c r="A22" t="s">
        <v>114</v>
      </c>
      <c r="B22" s="29" t="s">
        <v>118</v>
      </c>
      <c r="C22" s="30">
        <v>30</v>
      </c>
    </row>
    <row r="23" spans="1:3" s="30" customFormat="1" ht="15" customHeight="1" x14ac:dyDescent="0.25">
      <c r="A23" t="s">
        <v>121</v>
      </c>
      <c r="B23" s="29" t="s">
        <v>119</v>
      </c>
      <c r="C23" s="30">
        <v>50</v>
      </c>
    </row>
    <row r="24" spans="1:3" s="30" customFormat="1" ht="15" customHeight="1" x14ac:dyDescent="0.25">
      <c r="A24" t="s">
        <v>120</v>
      </c>
      <c r="B24" s="29" t="s">
        <v>119</v>
      </c>
      <c r="C24" s="30">
        <v>50</v>
      </c>
    </row>
    <row r="25" spans="1:3" s="30" customFormat="1" ht="15" customHeight="1" x14ac:dyDescent="0.25">
      <c r="A25" t="s">
        <v>122</v>
      </c>
      <c r="B25" s="29" t="s">
        <v>119</v>
      </c>
      <c r="C25" s="30">
        <v>50</v>
      </c>
    </row>
    <row r="26" spans="1:3" s="30" customFormat="1" ht="15" customHeight="1" x14ac:dyDescent="0.25">
      <c r="A26" t="s">
        <v>96</v>
      </c>
      <c r="B26" s="29" t="s">
        <v>119</v>
      </c>
      <c r="C26" s="30">
        <v>50</v>
      </c>
    </row>
    <row r="27" spans="1:3" s="34" customFormat="1" ht="15" customHeight="1" x14ac:dyDescent="0.25">
      <c r="A27" s="40" t="s">
        <v>516</v>
      </c>
      <c r="B27" s="29" t="s">
        <v>314</v>
      </c>
      <c r="C27" s="34">
        <v>50</v>
      </c>
    </row>
    <row r="28" spans="1:3" s="34" customFormat="1" ht="15" customHeight="1" x14ac:dyDescent="0.25">
      <c r="A28" s="40" t="s">
        <v>517</v>
      </c>
      <c r="B28" s="31" t="s">
        <v>315</v>
      </c>
      <c r="C28" s="34">
        <v>50</v>
      </c>
    </row>
    <row r="29" spans="1:3" s="30" customFormat="1" ht="15" customHeight="1" x14ac:dyDescent="0.25">
      <c r="A29" t="s">
        <v>56</v>
      </c>
    </row>
    <row r="30" spans="1:3" s="30" customFormat="1" ht="15" customHeight="1" x14ac:dyDescent="0.25">
      <c r="A30" t="s">
        <v>58</v>
      </c>
    </row>
    <row r="31" spans="1:3" s="30" customFormat="1" ht="15" customHeight="1" x14ac:dyDescent="0.25">
      <c r="A31" t="s">
        <v>60</v>
      </c>
    </row>
    <row r="32" spans="1:3" s="30" customFormat="1" ht="15" customHeight="1" x14ac:dyDescent="0.25">
      <c r="A32" t="s">
        <v>62</v>
      </c>
    </row>
    <row r="33" spans="1:1" s="30" customFormat="1" ht="15" customHeight="1" x14ac:dyDescent="0.25">
      <c r="A33" t="s">
        <v>64</v>
      </c>
    </row>
    <row r="34" spans="1:1" s="30" customFormat="1" ht="15" customHeight="1" x14ac:dyDescent="0.25">
      <c r="A34" t="s">
        <v>66</v>
      </c>
    </row>
    <row r="35" spans="1:1" s="30" customFormat="1" ht="15" customHeight="1" x14ac:dyDescent="0.25">
      <c r="A35" t="s">
        <v>68</v>
      </c>
    </row>
    <row r="36" spans="1:1" s="30" customFormat="1" ht="15" customHeight="1" x14ac:dyDescent="0.25">
      <c r="A36" t="s">
        <v>70</v>
      </c>
    </row>
    <row r="37" spans="1:1" s="30" customFormat="1" ht="15" customHeight="1" x14ac:dyDescent="0.25">
      <c r="A37" t="s">
        <v>72</v>
      </c>
    </row>
    <row r="38" spans="1:1" s="30" customFormat="1" ht="15" customHeight="1" x14ac:dyDescent="0.25">
      <c r="A38" t="s">
        <v>78</v>
      </c>
    </row>
    <row r="39" spans="1:1" s="30" customFormat="1" ht="15" customHeight="1" x14ac:dyDescent="0.25">
      <c r="A39" t="s">
        <v>298</v>
      </c>
    </row>
    <row r="40" spans="1:1" s="30" customFormat="1" ht="15" customHeight="1" x14ac:dyDescent="0.25">
      <c r="A40" t="s">
        <v>80</v>
      </c>
    </row>
    <row r="41" spans="1:1" s="30" customFormat="1" ht="15" customHeight="1" x14ac:dyDescent="0.25">
      <c r="A41" t="s">
        <v>74</v>
      </c>
    </row>
    <row r="42" spans="1:1" s="30" customFormat="1" ht="15" customHeight="1" x14ac:dyDescent="0.25">
      <c r="A42" t="s">
        <v>76</v>
      </c>
    </row>
    <row r="43" spans="1:1" s="30" customFormat="1" ht="15" customHeight="1" x14ac:dyDescent="0.25">
      <c r="A43" t="s">
        <v>82</v>
      </c>
    </row>
    <row r="44" spans="1:1" s="30" customFormat="1" ht="15" customHeight="1" x14ac:dyDescent="0.25">
      <c r="A44" t="s">
        <v>57</v>
      </c>
    </row>
    <row r="45" spans="1:1" s="30" customFormat="1" ht="15" customHeight="1" x14ac:dyDescent="0.25">
      <c r="A45" t="s">
        <v>59</v>
      </c>
    </row>
    <row r="46" spans="1:1" s="30" customFormat="1" ht="15" customHeight="1" x14ac:dyDescent="0.25">
      <c r="A46" t="s">
        <v>61</v>
      </c>
    </row>
    <row r="47" spans="1:1" s="30" customFormat="1" ht="15" customHeight="1" x14ac:dyDescent="0.25">
      <c r="A47" t="s">
        <v>63</v>
      </c>
    </row>
    <row r="48" spans="1:1" s="30" customFormat="1" ht="15" customHeight="1" x14ac:dyDescent="0.25">
      <c r="A48" t="s">
        <v>65</v>
      </c>
    </row>
    <row r="49" spans="1:1" s="30" customFormat="1" ht="15" customHeight="1" x14ac:dyDescent="0.25">
      <c r="A49" t="s">
        <v>67</v>
      </c>
    </row>
    <row r="50" spans="1:1" s="30" customFormat="1" ht="15" customHeight="1" x14ac:dyDescent="0.25">
      <c r="A50" t="s">
        <v>69</v>
      </c>
    </row>
    <row r="51" spans="1:1" s="30" customFormat="1" ht="15" customHeight="1" x14ac:dyDescent="0.25">
      <c r="A51" t="s">
        <v>71</v>
      </c>
    </row>
    <row r="52" spans="1:1" s="30" customFormat="1" ht="15" customHeight="1" x14ac:dyDescent="0.25">
      <c r="A52" t="s">
        <v>73</v>
      </c>
    </row>
    <row r="53" spans="1:1" s="30" customFormat="1" ht="15" customHeight="1" x14ac:dyDescent="0.25">
      <c r="A53" t="s">
        <v>79</v>
      </c>
    </row>
    <row r="54" spans="1:1" s="30" customFormat="1" ht="15" customHeight="1" x14ac:dyDescent="0.25">
      <c r="A54" t="s">
        <v>300</v>
      </c>
    </row>
    <row r="55" spans="1:1" s="30" customFormat="1" ht="15" customHeight="1" x14ac:dyDescent="0.25">
      <c r="A55" t="s">
        <v>81</v>
      </c>
    </row>
    <row r="56" spans="1:1" s="30" customFormat="1" ht="15" customHeight="1" x14ac:dyDescent="0.25">
      <c r="A56" t="s">
        <v>75</v>
      </c>
    </row>
    <row r="57" spans="1:1" s="30" customFormat="1" ht="15" customHeight="1" x14ac:dyDescent="0.25">
      <c r="A57" t="s">
        <v>77</v>
      </c>
    </row>
    <row r="58" spans="1:1" s="30" customFormat="1" ht="15" customHeight="1" x14ac:dyDescent="0.25">
      <c r="A58" t="s">
        <v>83</v>
      </c>
    </row>
    <row r="59" spans="1:1" s="30" customFormat="1" ht="15" customHeight="1" x14ac:dyDescent="0.25">
      <c r="A59" s="33" t="s">
        <v>316</v>
      </c>
    </row>
    <row r="60" spans="1:1" s="30" customFormat="1" ht="15" customHeight="1" x14ac:dyDescent="0.25">
      <c r="A60" s="33" t="s">
        <v>317</v>
      </c>
    </row>
    <row r="61" spans="1:1" s="30" customFormat="1" ht="15" customHeight="1" x14ac:dyDescent="0.25">
      <c r="A61" s="33" t="s">
        <v>318</v>
      </c>
    </row>
    <row r="62" spans="1:1" s="30" customFormat="1" ht="14.25" customHeight="1" x14ac:dyDescent="0.25">
      <c r="A62" s="33" t="s">
        <v>319</v>
      </c>
    </row>
    <row r="63" spans="1:1" s="30" customFormat="1" ht="15" customHeight="1" x14ac:dyDescent="0.25">
      <c r="A63" s="33" t="s">
        <v>320</v>
      </c>
    </row>
    <row r="64" spans="1:1" s="30" customFormat="1" ht="15" customHeight="1" x14ac:dyDescent="0.25">
      <c r="A64" s="33" t="s">
        <v>321</v>
      </c>
    </row>
    <row r="65" spans="1:1" s="30" customFormat="1" ht="15" customHeight="1" x14ac:dyDescent="0.25">
      <c r="A65" s="33" t="s">
        <v>322</v>
      </c>
    </row>
    <row r="66" spans="1:1" s="30" customFormat="1" ht="15" customHeight="1" x14ac:dyDescent="0.25">
      <c r="A66" s="33" t="s">
        <v>323</v>
      </c>
    </row>
    <row r="67" spans="1:1" s="30" customFormat="1" ht="15" customHeight="1" x14ac:dyDescent="0.25">
      <c r="A67" s="33" t="s">
        <v>324</v>
      </c>
    </row>
    <row r="68" spans="1:1" s="30" customFormat="1" ht="15" customHeight="1" x14ac:dyDescent="0.25">
      <c r="A68" s="33" t="s">
        <v>325</v>
      </c>
    </row>
    <row r="69" spans="1:1" s="30" customFormat="1" ht="15" customHeight="1" x14ac:dyDescent="0.25">
      <c r="A69" s="33" t="s">
        <v>326</v>
      </c>
    </row>
    <row r="70" spans="1:1" s="30" customFormat="1" ht="14.25" customHeight="1" x14ac:dyDescent="0.25">
      <c r="A70" s="33" t="s">
        <v>327</v>
      </c>
    </row>
    <row r="71" spans="1:1" s="30" customFormat="1" ht="15" customHeight="1" x14ac:dyDescent="0.25">
      <c r="A71" s="33" t="s">
        <v>328</v>
      </c>
    </row>
    <row r="72" spans="1:1" s="30" customFormat="1" ht="15" customHeight="1" x14ac:dyDescent="0.25">
      <c r="A72" s="33" t="s">
        <v>329</v>
      </c>
    </row>
    <row r="73" spans="1:1" s="30" customFormat="1" ht="15" customHeight="1" x14ac:dyDescent="0.25">
      <c r="A73" s="33" t="s">
        <v>330</v>
      </c>
    </row>
    <row r="74" spans="1:1" s="30" customFormat="1" ht="15" customHeight="1" x14ac:dyDescent="0.25">
      <c r="A74" s="33" t="s">
        <v>331</v>
      </c>
    </row>
    <row r="75" spans="1:1" s="30" customFormat="1" ht="15" customHeight="1" x14ac:dyDescent="0.25">
      <c r="A75" s="33" t="s">
        <v>332</v>
      </c>
    </row>
    <row r="76" spans="1:1" s="30" customFormat="1" ht="15" customHeight="1" x14ac:dyDescent="0.25">
      <c r="A76" s="33" t="s">
        <v>333</v>
      </c>
    </row>
    <row r="77" spans="1:1" s="30" customFormat="1" ht="15" customHeight="1" x14ac:dyDescent="0.25">
      <c r="A77" s="33" t="s">
        <v>334</v>
      </c>
    </row>
    <row r="78" spans="1:1" s="30" customFormat="1" ht="15" customHeight="1" x14ac:dyDescent="0.25">
      <c r="A78" s="33" t="s">
        <v>335</v>
      </c>
    </row>
    <row r="79" spans="1:1" s="30" customFormat="1" ht="15" customHeight="1" x14ac:dyDescent="0.25">
      <c r="A79" s="33" t="s">
        <v>336</v>
      </c>
    </row>
    <row r="80" spans="1:1" s="30" customFormat="1" ht="15" customHeight="1" x14ac:dyDescent="0.25">
      <c r="A80" s="33" t="s">
        <v>337</v>
      </c>
    </row>
    <row r="81" spans="1:1" s="30" customFormat="1" ht="15" customHeight="1" x14ac:dyDescent="0.25">
      <c r="A81" s="33" t="s">
        <v>338</v>
      </c>
    </row>
    <row r="82" spans="1:1" s="30" customFormat="1" ht="15" customHeight="1" x14ac:dyDescent="0.25">
      <c r="A82" s="33" t="s">
        <v>339</v>
      </c>
    </row>
    <row r="83" spans="1:1" s="30" customFormat="1" ht="15" customHeight="1" x14ac:dyDescent="0.25">
      <c r="A83" s="33" t="s">
        <v>340</v>
      </c>
    </row>
    <row r="84" spans="1:1" s="30" customFormat="1" ht="15" customHeight="1" x14ac:dyDescent="0.25">
      <c r="A84" s="33" t="s">
        <v>341</v>
      </c>
    </row>
    <row r="85" spans="1:1" s="30" customFormat="1" ht="15" customHeight="1" x14ac:dyDescent="0.25">
      <c r="A85" s="33" t="s">
        <v>342</v>
      </c>
    </row>
    <row r="86" spans="1:1" s="30" customFormat="1" ht="15" customHeight="1" x14ac:dyDescent="0.25">
      <c r="A86" s="33" t="s">
        <v>343</v>
      </c>
    </row>
    <row r="87" spans="1:1" s="30" customFormat="1" ht="15" customHeight="1" x14ac:dyDescent="0.25">
      <c r="A87" s="33" t="s">
        <v>344</v>
      </c>
    </row>
    <row r="88" spans="1:1" s="30" customFormat="1" ht="15" customHeight="1" x14ac:dyDescent="0.25">
      <c r="A88" s="33" t="s">
        <v>345</v>
      </c>
    </row>
    <row r="89" spans="1:1" s="30" customFormat="1" ht="15" customHeight="1" x14ac:dyDescent="0.25">
      <c r="A89" s="33" t="s">
        <v>346</v>
      </c>
    </row>
    <row r="90" spans="1:1" s="30" customFormat="1" ht="15" customHeight="1" x14ac:dyDescent="0.25">
      <c r="A90" s="33" t="s">
        <v>347</v>
      </c>
    </row>
    <row r="91" spans="1:1" s="30" customFormat="1" ht="14.25" customHeight="1" x14ac:dyDescent="0.25">
      <c r="A91" s="33" t="s">
        <v>348</v>
      </c>
    </row>
    <row r="92" spans="1:1" s="30" customFormat="1" ht="15" customHeight="1" x14ac:dyDescent="0.25">
      <c r="A92" s="33" t="s">
        <v>349</v>
      </c>
    </row>
    <row r="93" spans="1:1" s="30" customFormat="1" ht="15" customHeight="1" x14ac:dyDescent="0.25">
      <c r="A93" s="33" t="s">
        <v>350</v>
      </c>
    </row>
    <row r="94" spans="1:1" s="30" customFormat="1" ht="15" customHeight="1" x14ac:dyDescent="0.25">
      <c r="A94" s="33" t="s">
        <v>351</v>
      </c>
    </row>
    <row r="95" spans="1:1" s="30" customFormat="1" ht="14.25" customHeight="1" x14ac:dyDescent="0.25">
      <c r="A95" s="33" t="s">
        <v>352</v>
      </c>
    </row>
    <row r="96" spans="1:1" s="30" customFormat="1" ht="14.25" customHeight="1" x14ac:dyDescent="0.25">
      <c r="A96" s="33" t="s">
        <v>353</v>
      </c>
    </row>
    <row r="97" spans="1:1" s="30" customFormat="1" ht="14.25" customHeight="1" x14ac:dyDescent="0.25">
      <c r="A97" s="33" t="s">
        <v>354</v>
      </c>
    </row>
    <row r="98" spans="1:1" s="30" customFormat="1" ht="14.25" customHeight="1" x14ac:dyDescent="0.25">
      <c r="A98" s="33" t="s">
        <v>355</v>
      </c>
    </row>
    <row r="99" spans="1:1" s="30" customFormat="1" ht="14.25" customHeight="1" x14ac:dyDescent="0.25">
      <c r="A99" s="33" t="s">
        <v>356</v>
      </c>
    </row>
    <row r="100" spans="1:1" s="30" customFormat="1" ht="14.25" customHeight="1" x14ac:dyDescent="0.25">
      <c r="A100" s="33" t="s">
        <v>357</v>
      </c>
    </row>
    <row r="101" spans="1:1" s="30" customFormat="1" ht="14.25" customHeight="1" x14ac:dyDescent="0.25">
      <c r="A101" s="33" t="s">
        <v>358</v>
      </c>
    </row>
    <row r="102" spans="1:1" s="30" customFormat="1" ht="15" customHeight="1" x14ac:dyDescent="0.25">
      <c r="A102" s="33" t="s">
        <v>359</v>
      </c>
    </row>
    <row r="103" spans="1:1" s="30" customFormat="1" ht="15" customHeight="1" x14ac:dyDescent="0.25">
      <c r="A103" s="33" t="s">
        <v>360</v>
      </c>
    </row>
    <row r="104" spans="1:1" s="30" customFormat="1" ht="15" customHeight="1" x14ac:dyDescent="0.25">
      <c r="A104" s="33" t="s">
        <v>361</v>
      </c>
    </row>
    <row r="105" spans="1:1" s="30" customFormat="1" ht="15" customHeight="1" x14ac:dyDescent="0.25">
      <c r="A105" s="33" t="s">
        <v>362</v>
      </c>
    </row>
    <row r="106" spans="1:1" s="30" customFormat="1" ht="15" customHeight="1" x14ac:dyDescent="0.25">
      <c r="A106" s="33" t="s">
        <v>363</v>
      </c>
    </row>
    <row r="107" spans="1:1" s="30" customFormat="1" ht="15" customHeight="1" x14ac:dyDescent="0.25">
      <c r="A107" s="33" t="s">
        <v>364</v>
      </c>
    </row>
    <row r="108" spans="1:1" s="30" customFormat="1" ht="15" customHeight="1" x14ac:dyDescent="0.25">
      <c r="A108" s="33" t="s">
        <v>365</v>
      </c>
    </row>
    <row r="109" spans="1:1" s="30" customFormat="1" ht="15" customHeight="1" x14ac:dyDescent="0.25">
      <c r="A109" s="33" t="s">
        <v>366</v>
      </c>
    </row>
    <row r="110" spans="1:1" s="30" customFormat="1" ht="15" customHeight="1" x14ac:dyDescent="0.25">
      <c r="A110" s="33" t="s">
        <v>367</v>
      </c>
    </row>
    <row r="111" spans="1:1" s="30" customFormat="1" ht="15" customHeight="1" x14ac:dyDescent="0.25">
      <c r="A111" s="33" t="s">
        <v>368</v>
      </c>
    </row>
    <row r="112" spans="1:1" s="30" customFormat="1" ht="15" customHeight="1" x14ac:dyDescent="0.25">
      <c r="A112" s="33" t="s">
        <v>369</v>
      </c>
    </row>
    <row r="113" spans="1:1" s="30" customFormat="1" ht="15" customHeight="1" x14ac:dyDescent="0.25">
      <c r="A113" s="33" t="s">
        <v>370</v>
      </c>
    </row>
    <row r="114" spans="1:1" s="30" customFormat="1" ht="15" customHeight="1" x14ac:dyDescent="0.25">
      <c r="A114" s="33" t="s">
        <v>371</v>
      </c>
    </row>
    <row r="115" spans="1:1" s="30" customFormat="1" ht="15" customHeight="1" x14ac:dyDescent="0.25">
      <c r="A115" s="33" t="s">
        <v>372</v>
      </c>
    </row>
    <row r="116" spans="1:1" s="30" customFormat="1" ht="15" customHeight="1" x14ac:dyDescent="0.25">
      <c r="A116" s="33" t="s">
        <v>373</v>
      </c>
    </row>
    <row r="117" spans="1:1" s="30" customFormat="1" ht="15" customHeight="1" x14ac:dyDescent="0.25">
      <c r="A117" s="33" t="s">
        <v>374</v>
      </c>
    </row>
    <row r="118" spans="1:1" s="30" customFormat="1" ht="15" customHeight="1" x14ac:dyDescent="0.25">
      <c r="A118" s="33" t="s">
        <v>375</v>
      </c>
    </row>
    <row r="119" spans="1:1" s="30" customFormat="1" ht="15" customHeight="1" x14ac:dyDescent="0.25">
      <c r="A119" s="33" t="s">
        <v>376</v>
      </c>
    </row>
    <row r="120" spans="1:1" s="30" customFormat="1" ht="15" customHeight="1" x14ac:dyDescent="0.25">
      <c r="A120" s="33" t="s">
        <v>377</v>
      </c>
    </row>
    <row r="121" spans="1:1" s="35" customFormat="1" ht="15" customHeight="1" x14ac:dyDescent="0.25">
      <c r="A121" s="33" t="s">
        <v>378</v>
      </c>
    </row>
    <row r="122" spans="1:1" s="30" customFormat="1" ht="15" customHeight="1" x14ac:dyDescent="0.25">
      <c r="A122" s="33" t="s">
        <v>379</v>
      </c>
    </row>
    <row r="123" spans="1:1" s="30" customFormat="1" ht="15" customHeight="1" x14ac:dyDescent="0.25">
      <c r="A123" s="33" t="s">
        <v>380</v>
      </c>
    </row>
    <row r="124" spans="1:1" s="30" customFormat="1" ht="15" customHeight="1" x14ac:dyDescent="0.25">
      <c r="A124" s="33" t="s">
        <v>381</v>
      </c>
    </row>
    <row r="125" spans="1:1" s="30" customFormat="1" ht="15" customHeight="1" x14ac:dyDescent="0.25">
      <c r="A125" s="33" t="s">
        <v>382</v>
      </c>
    </row>
    <row r="126" spans="1:1" s="30" customFormat="1" ht="15" customHeight="1" x14ac:dyDescent="0.25">
      <c r="A126" s="33" t="s">
        <v>383</v>
      </c>
    </row>
    <row r="127" spans="1:1" s="30" customFormat="1" ht="15" customHeight="1" x14ac:dyDescent="0.25">
      <c r="A127" s="33" t="s">
        <v>384</v>
      </c>
    </row>
    <row r="128" spans="1:1" s="30" customFormat="1" ht="15" customHeight="1" x14ac:dyDescent="0.25">
      <c r="A128" s="33" t="s">
        <v>385</v>
      </c>
    </row>
    <row r="129" spans="1:1" s="30" customFormat="1" ht="15" customHeight="1" x14ac:dyDescent="0.25">
      <c r="A129" s="33" t="s">
        <v>386</v>
      </c>
    </row>
    <row r="130" spans="1:1" s="30" customFormat="1" ht="15" customHeight="1" x14ac:dyDescent="0.25">
      <c r="A130" s="33" t="s">
        <v>387</v>
      </c>
    </row>
    <row r="131" spans="1:1" s="30" customFormat="1" ht="15" customHeight="1" x14ac:dyDescent="0.25">
      <c r="A131" s="33" t="s">
        <v>388</v>
      </c>
    </row>
    <row r="132" spans="1:1" s="35" customFormat="1" ht="15" customHeight="1" x14ac:dyDescent="0.25">
      <c r="A132" s="33" t="s">
        <v>389</v>
      </c>
    </row>
    <row r="133" spans="1:1" s="30" customFormat="1" ht="15" customHeight="1" x14ac:dyDescent="0.25">
      <c r="A133" s="33" t="s">
        <v>390</v>
      </c>
    </row>
    <row r="134" spans="1:1" s="30" customFormat="1" ht="15" customHeight="1" x14ac:dyDescent="0.25">
      <c r="A134" s="33" t="s">
        <v>391</v>
      </c>
    </row>
    <row r="135" spans="1:1" s="30" customFormat="1" ht="15" customHeight="1" x14ac:dyDescent="0.25">
      <c r="A135" s="33" t="s">
        <v>392</v>
      </c>
    </row>
    <row r="136" spans="1:1" s="30" customFormat="1" ht="15" customHeight="1" x14ac:dyDescent="0.25">
      <c r="A136" s="33" t="s">
        <v>393</v>
      </c>
    </row>
    <row r="137" spans="1:1" s="30" customFormat="1" ht="15" customHeight="1" x14ac:dyDescent="0.25">
      <c r="A137" s="33" t="s">
        <v>394</v>
      </c>
    </row>
    <row r="138" spans="1:1" s="30" customFormat="1" ht="15" customHeight="1" x14ac:dyDescent="0.25">
      <c r="A138" s="33" t="s">
        <v>395</v>
      </c>
    </row>
    <row r="139" spans="1:1" s="30" customFormat="1" ht="15" customHeight="1" x14ac:dyDescent="0.25">
      <c r="A139" s="33" t="s">
        <v>396</v>
      </c>
    </row>
    <row r="140" spans="1:1" s="30" customFormat="1" ht="15" customHeight="1" x14ac:dyDescent="0.25">
      <c r="A140" s="33" t="s">
        <v>397</v>
      </c>
    </row>
    <row r="141" spans="1:1" s="30" customFormat="1" ht="15" customHeight="1" x14ac:dyDescent="0.25">
      <c r="A141" s="33" t="s">
        <v>398</v>
      </c>
    </row>
    <row r="142" spans="1:1" s="30" customFormat="1" ht="15" customHeight="1" x14ac:dyDescent="0.25">
      <c r="A142" s="33" t="s">
        <v>399</v>
      </c>
    </row>
    <row r="143" spans="1:1" s="30" customFormat="1" ht="15" customHeight="1" x14ac:dyDescent="0.25">
      <c r="A143" s="33" t="s">
        <v>400</v>
      </c>
    </row>
    <row r="144" spans="1:1" s="30" customFormat="1" ht="15" customHeight="1" x14ac:dyDescent="0.25">
      <c r="A144" s="33" t="s">
        <v>401</v>
      </c>
    </row>
    <row r="145" spans="1:1" s="30" customFormat="1" ht="15" customHeight="1" x14ac:dyDescent="0.25">
      <c r="A145" s="33" t="s">
        <v>402</v>
      </c>
    </row>
    <row r="146" spans="1:1" s="30" customFormat="1" ht="15" customHeight="1" x14ac:dyDescent="0.25">
      <c r="A146" s="33" t="s">
        <v>403</v>
      </c>
    </row>
    <row r="147" spans="1:1" s="30" customFormat="1" ht="15" customHeight="1" x14ac:dyDescent="0.25">
      <c r="A147" s="33" t="s">
        <v>404</v>
      </c>
    </row>
    <row r="148" spans="1:1" s="30" customFormat="1" ht="15" customHeight="1" x14ac:dyDescent="0.25">
      <c r="A148" s="33" t="s">
        <v>405</v>
      </c>
    </row>
    <row r="149" spans="1:1" s="30" customFormat="1" ht="15" customHeight="1" x14ac:dyDescent="0.25">
      <c r="A149" s="33" t="s">
        <v>406</v>
      </c>
    </row>
    <row r="150" spans="1:1" s="30" customFormat="1" ht="15" customHeight="1" x14ac:dyDescent="0.25">
      <c r="A150" s="33" t="s">
        <v>407</v>
      </c>
    </row>
    <row r="151" spans="1:1" s="30" customFormat="1" ht="15" customHeight="1" x14ac:dyDescent="0.25">
      <c r="A151" s="33" t="s">
        <v>408</v>
      </c>
    </row>
    <row r="152" spans="1:1" s="30" customFormat="1" ht="15" customHeight="1" x14ac:dyDescent="0.25">
      <c r="A152" s="33" t="s">
        <v>409</v>
      </c>
    </row>
    <row r="153" spans="1:1" s="30" customFormat="1" ht="15" customHeight="1" x14ac:dyDescent="0.25">
      <c r="A153" s="33" t="s">
        <v>410</v>
      </c>
    </row>
    <row r="154" spans="1:1" s="30" customFormat="1" ht="15" customHeight="1" x14ac:dyDescent="0.25">
      <c r="A154" s="33" t="s">
        <v>411</v>
      </c>
    </row>
    <row r="155" spans="1:1" s="30" customFormat="1" ht="15" customHeight="1" x14ac:dyDescent="0.25">
      <c r="A155" s="33" t="s">
        <v>412</v>
      </c>
    </row>
    <row r="156" spans="1:1" s="30" customFormat="1" ht="15" customHeight="1" x14ac:dyDescent="0.25">
      <c r="A156" s="33" t="s">
        <v>413</v>
      </c>
    </row>
    <row r="157" spans="1:1" s="30" customFormat="1" ht="15" customHeight="1" x14ac:dyDescent="0.25">
      <c r="A157" s="33" t="s">
        <v>414</v>
      </c>
    </row>
    <row r="158" spans="1:1" s="30" customFormat="1" ht="15" customHeight="1" x14ac:dyDescent="0.25">
      <c r="A158" s="33" t="s">
        <v>415</v>
      </c>
    </row>
    <row r="159" spans="1:1" s="30" customFormat="1" ht="15" customHeight="1" x14ac:dyDescent="0.25">
      <c r="A159" s="33" t="s">
        <v>416</v>
      </c>
    </row>
    <row r="160" spans="1:1" s="30" customFormat="1" ht="15" customHeight="1" x14ac:dyDescent="0.25">
      <c r="A160" s="33" t="s">
        <v>417</v>
      </c>
    </row>
    <row r="161" spans="1:1" s="30" customFormat="1" ht="15" customHeight="1" x14ac:dyDescent="0.25">
      <c r="A161" s="33" t="s">
        <v>418</v>
      </c>
    </row>
    <row r="162" spans="1:1" s="30" customFormat="1" ht="15" customHeight="1" x14ac:dyDescent="0.25">
      <c r="A162" s="33" t="s">
        <v>419</v>
      </c>
    </row>
    <row r="163" spans="1:1" s="30" customFormat="1" ht="15" customHeight="1" x14ac:dyDescent="0.25">
      <c r="A163" s="33" t="s">
        <v>420</v>
      </c>
    </row>
    <row r="164" spans="1:1" s="30" customFormat="1" ht="15" customHeight="1" x14ac:dyDescent="0.25">
      <c r="A164" s="33" t="s">
        <v>421</v>
      </c>
    </row>
    <row r="165" spans="1:1" s="30" customFormat="1" ht="15" customHeight="1" x14ac:dyDescent="0.25">
      <c r="A165" s="33" t="s">
        <v>422</v>
      </c>
    </row>
    <row r="166" spans="1:1" s="30" customFormat="1" ht="15" customHeight="1" x14ac:dyDescent="0.25">
      <c r="A166" s="33" t="s">
        <v>423</v>
      </c>
    </row>
    <row r="167" spans="1:1" s="30" customFormat="1" ht="15" customHeight="1" x14ac:dyDescent="0.25">
      <c r="A167" s="33" t="s">
        <v>424</v>
      </c>
    </row>
    <row r="168" spans="1:1" s="30" customFormat="1" ht="14.25" customHeight="1" x14ac:dyDescent="0.25">
      <c r="A168" s="33" t="s">
        <v>425</v>
      </c>
    </row>
    <row r="169" spans="1:1" s="30" customFormat="1" ht="15" customHeight="1" x14ac:dyDescent="0.25">
      <c r="A169" s="33" t="s">
        <v>426</v>
      </c>
    </row>
    <row r="170" spans="1:1" s="30" customFormat="1" ht="14.25" customHeight="1" x14ac:dyDescent="0.25">
      <c r="A170" s="33" t="s">
        <v>427</v>
      </c>
    </row>
    <row r="171" spans="1:1" s="30" customFormat="1" ht="15" customHeight="1" x14ac:dyDescent="0.25">
      <c r="A171" s="33" t="s">
        <v>428</v>
      </c>
    </row>
    <row r="172" spans="1:1" s="30" customFormat="1" ht="14.25" customHeight="1" x14ac:dyDescent="0.25">
      <c r="A172" s="33" t="s">
        <v>429</v>
      </c>
    </row>
    <row r="173" spans="1:1" s="30" customFormat="1" ht="15" customHeight="1" x14ac:dyDescent="0.25">
      <c r="A173" s="33" t="s">
        <v>430</v>
      </c>
    </row>
    <row r="174" spans="1:1" s="30" customFormat="1" ht="15" customHeight="1" x14ac:dyDescent="0.25">
      <c r="A174" s="33" t="s">
        <v>431</v>
      </c>
    </row>
    <row r="175" spans="1:1" s="30" customFormat="1" ht="14.25" customHeight="1" x14ac:dyDescent="0.25">
      <c r="A175" s="33" t="s">
        <v>432</v>
      </c>
    </row>
    <row r="176" spans="1:1" s="30" customFormat="1" ht="15" customHeight="1" x14ac:dyDescent="0.25">
      <c r="A176" s="33" t="s">
        <v>433</v>
      </c>
    </row>
    <row r="177" spans="1:1" s="30" customFormat="1" ht="15" customHeight="1" x14ac:dyDescent="0.25">
      <c r="A177" s="33" t="s">
        <v>434</v>
      </c>
    </row>
    <row r="178" spans="1:1" s="30" customFormat="1" ht="15" customHeight="1" x14ac:dyDescent="0.25">
      <c r="A178" s="33" t="s">
        <v>435</v>
      </c>
    </row>
    <row r="179" spans="1:1" s="30" customFormat="1" ht="15" customHeight="1" x14ac:dyDescent="0.25">
      <c r="A179" s="33" t="s">
        <v>436</v>
      </c>
    </row>
    <row r="180" spans="1:1" s="30" customFormat="1" ht="15" customHeight="1" x14ac:dyDescent="0.25">
      <c r="A180" s="33" t="s">
        <v>437</v>
      </c>
    </row>
    <row r="181" spans="1:1" s="30" customFormat="1" ht="15" customHeight="1" x14ac:dyDescent="0.25">
      <c r="A181" s="33" t="s">
        <v>438</v>
      </c>
    </row>
    <row r="182" spans="1:1" s="30" customFormat="1" ht="15" customHeight="1" x14ac:dyDescent="0.25">
      <c r="A182" s="33" t="s">
        <v>439</v>
      </c>
    </row>
    <row r="183" spans="1:1" s="30" customFormat="1" ht="15" customHeight="1" x14ac:dyDescent="0.25">
      <c r="A183" s="33" t="s">
        <v>440</v>
      </c>
    </row>
    <row r="184" spans="1:1" s="30" customFormat="1" ht="15" customHeight="1" x14ac:dyDescent="0.25">
      <c r="A184" s="33" t="s">
        <v>441</v>
      </c>
    </row>
    <row r="185" spans="1:1" s="30" customFormat="1" ht="15" customHeight="1" x14ac:dyDescent="0.25">
      <c r="A185" s="33" t="s">
        <v>442</v>
      </c>
    </row>
    <row r="186" spans="1:1" s="30" customFormat="1" ht="15" customHeight="1" x14ac:dyDescent="0.25">
      <c r="A186" s="33" t="s">
        <v>443</v>
      </c>
    </row>
    <row r="187" spans="1:1" s="30" customFormat="1" ht="15" customHeight="1" x14ac:dyDescent="0.25">
      <c r="A187" s="33" t="s">
        <v>444</v>
      </c>
    </row>
    <row r="188" spans="1:1" s="30" customFormat="1" ht="15" customHeight="1" x14ac:dyDescent="0.25">
      <c r="A188" s="33" t="s">
        <v>445</v>
      </c>
    </row>
    <row r="189" spans="1:1" s="30" customFormat="1" ht="15" customHeight="1" x14ac:dyDescent="0.25">
      <c r="A189" s="33" t="s">
        <v>446</v>
      </c>
    </row>
    <row r="190" spans="1:1" s="30" customFormat="1" ht="15" customHeight="1" x14ac:dyDescent="0.25">
      <c r="A190" s="33" t="s">
        <v>447</v>
      </c>
    </row>
    <row r="191" spans="1:1" s="30" customFormat="1" ht="15" customHeight="1" x14ac:dyDescent="0.25">
      <c r="A191" s="33" t="s">
        <v>448</v>
      </c>
    </row>
    <row r="192" spans="1:1" s="30" customFormat="1" ht="14.25" customHeight="1" x14ac:dyDescent="0.25">
      <c r="A192" s="33" t="s">
        <v>449</v>
      </c>
    </row>
    <row r="193" spans="1:1" s="30" customFormat="1" ht="15" customHeight="1" x14ac:dyDescent="0.25">
      <c r="A193" s="33" t="s">
        <v>450</v>
      </c>
    </row>
    <row r="194" spans="1:1" s="30" customFormat="1" ht="15" customHeight="1" x14ac:dyDescent="0.25">
      <c r="A194" s="33" t="s">
        <v>451</v>
      </c>
    </row>
    <row r="195" spans="1:1" s="30" customFormat="1" ht="15" customHeight="1" x14ac:dyDescent="0.25">
      <c r="A195" s="33" t="s">
        <v>452</v>
      </c>
    </row>
    <row r="196" spans="1:1" s="30" customFormat="1" ht="15" customHeight="1" x14ac:dyDescent="0.25">
      <c r="A196" s="33" t="s">
        <v>453</v>
      </c>
    </row>
    <row r="197" spans="1:1" s="30" customFormat="1" ht="15" customHeight="1" x14ac:dyDescent="0.25">
      <c r="A197" s="33" t="s">
        <v>454</v>
      </c>
    </row>
    <row r="198" spans="1:1" s="30" customFormat="1" ht="15" customHeight="1" x14ac:dyDescent="0.25">
      <c r="A198" s="33" t="s">
        <v>455</v>
      </c>
    </row>
    <row r="199" spans="1:1" s="30" customFormat="1" ht="15" customHeight="1" x14ac:dyDescent="0.25">
      <c r="A199" s="33" t="s">
        <v>456</v>
      </c>
    </row>
    <row r="200" spans="1:1" s="30" customFormat="1" ht="15" customHeight="1" x14ac:dyDescent="0.25">
      <c r="A200" s="33" t="s">
        <v>457</v>
      </c>
    </row>
    <row r="201" spans="1:1" s="30" customFormat="1" ht="15" customHeight="1" x14ac:dyDescent="0.25">
      <c r="A201" s="33" t="s">
        <v>458</v>
      </c>
    </row>
    <row r="202" spans="1:1" s="30" customFormat="1" ht="15" customHeight="1" x14ac:dyDescent="0.25">
      <c r="A202" s="33" t="s">
        <v>459</v>
      </c>
    </row>
    <row r="203" spans="1:1" s="30" customFormat="1" ht="15" customHeight="1" x14ac:dyDescent="0.25">
      <c r="A203" s="33" t="s">
        <v>460</v>
      </c>
    </row>
    <row r="204" spans="1:1" s="30" customFormat="1" ht="15" customHeight="1" x14ac:dyDescent="0.25">
      <c r="A204" s="33" t="s">
        <v>461</v>
      </c>
    </row>
    <row r="205" spans="1:1" s="30" customFormat="1" ht="15" customHeight="1" x14ac:dyDescent="0.25">
      <c r="A205" s="33" t="s">
        <v>462</v>
      </c>
    </row>
    <row r="206" spans="1:1" s="30" customFormat="1" ht="15" customHeight="1" x14ac:dyDescent="0.25">
      <c r="A206" s="33" t="s">
        <v>463</v>
      </c>
    </row>
    <row r="207" spans="1:1" s="30" customFormat="1" ht="15" customHeight="1" x14ac:dyDescent="0.25">
      <c r="A207" s="33" t="s">
        <v>464</v>
      </c>
    </row>
    <row r="208" spans="1:1" s="30" customFormat="1" ht="15" customHeight="1" x14ac:dyDescent="0.25">
      <c r="A208" s="33" t="s">
        <v>465</v>
      </c>
    </row>
    <row r="209" spans="1:1" s="30" customFormat="1" ht="15" customHeight="1" x14ac:dyDescent="0.25">
      <c r="A209" s="33" t="s">
        <v>466</v>
      </c>
    </row>
    <row r="210" spans="1:1" s="30" customFormat="1" ht="15" customHeight="1" x14ac:dyDescent="0.25">
      <c r="A210" s="33" t="s">
        <v>467</v>
      </c>
    </row>
    <row r="211" spans="1:1" s="30" customFormat="1" ht="15" customHeight="1" x14ac:dyDescent="0.25">
      <c r="A211" s="33" t="s">
        <v>468</v>
      </c>
    </row>
    <row r="212" spans="1:1" s="30" customFormat="1" ht="15" customHeight="1" x14ac:dyDescent="0.25">
      <c r="A212" s="33" t="s">
        <v>469</v>
      </c>
    </row>
    <row r="213" spans="1:1" s="30" customFormat="1" ht="15" customHeight="1" x14ac:dyDescent="0.25">
      <c r="A213" s="33" t="s">
        <v>470</v>
      </c>
    </row>
    <row r="214" spans="1:1" s="30" customFormat="1" ht="15" customHeight="1" x14ac:dyDescent="0.25">
      <c r="A214" s="33" t="s">
        <v>471</v>
      </c>
    </row>
    <row r="215" spans="1:1" s="30" customFormat="1" ht="15" customHeight="1" x14ac:dyDescent="0.25">
      <c r="A215" s="33" t="s">
        <v>472</v>
      </c>
    </row>
    <row r="216" spans="1:1" s="30" customFormat="1" ht="15" customHeight="1" x14ac:dyDescent="0.25">
      <c r="A216" s="33" t="s">
        <v>473</v>
      </c>
    </row>
    <row r="217" spans="1:1" s="30" customFormat="1" ht="15" customHeight="1" x14ac:dyDescent="0.25">
      <c r="A217" s="33" t="s">
        <v>474</v>
      </c>
    </row>
    <row r="218" spans="1:1" s="30" customFormat="1" ht="15" customHeight="1" x14ac:dyDescent="0.25">
      <c r="A218" s="33" t="s">
        <v>475</v>
      </c>
    </row>
    <row r="219" spans="1:1" s="30" customFormat="1" ht="15" customHeight="1" x14ac:dyDescent="0.25">
      <c r="A219" s="33" t="s">
        <v>476</v>
      </c>
    </row>
    <row r="220" spans="1:1" s="30" customFormat="1" ht="15" customHeight="1" x14ac:dyDescent="0.25">
      <c r="A220" s="33" t="s">
        <v>477</v>
      </c>
    </row>
    <row r="221" spans="1:1" s="30" customFormat="1" ht="15" customHeight="1" x14ac:dyDescent="0.25">
      <c r="A221" s="33" t="s">
        <v>478</v>
      </c>
    </row>
    <row r="222" spans="1:1" s="30" customFormat="1" ht="15" customHeight="1" x14ac:dyDescent="0.25">
      <c r="A222" s="33" t="s">
        <v>479</v>
      </c>
    </row>
    <row r="223" spans="1:1" s="30" customFormat="1" ht="15" customHeight="1" x14ac:dyDescent="0.25">
      <c r="A223" s="33" t="s">
        <v>480</v>
      </c>
    </row>
    <row r="224" spans="1:1" s="30" customFormat="1" ht="15" customHeight="1" x14ac:dyDescent="0.25">
      <c r="A224" s="33" t="s">
        <v>481</v>
      </c>
    </row>
    <row r="225" spans="1:1" s="30" customFormat="1" ht="15" customHeight="1" x14ac:dyDescent="0.25">
      <c r="A225" s="33" t="s">
        <v>482</v>
      </c>
    </row>
    <row r="226" spans="1:1" s="30" customFormat="1" ht="15" customHeight="1" x14ac:dyDescent="0.25">
      <c r="A226" s="33" t="s">
        <v>483</v>
      </c>
    </row>
    <row r="227" spans="1:1" s="30" customFormat="1" ht="15" customHeight="1" x14ac:dyDescent="0.25">
      <c r="A227" s="33" t="s">
        <v>484</v>
      </c>
    </row>
    <row r="228" spans="1:1" s="30" customFormat="1" ht="15" customHeight="1" x14ac:dyDescent="0.25">
      <c r="A228" s="33" t="s">
        <v>485</v>
      </c>
    </row>
    <row r="229" spans="1:1" s="30" customFormat="1" ht="15" customHeight="1" x14ac:dyDescent="0.25">
      <c r="A229" s="33" t="s">
        <v>486</v>
      </c>
    </row>
    <row r="230" spans="1:1" s="30" customFormat="1" ht="15" customHeight="1" x14ac:dyDescent="0.25">
      <c r="A230" s="33" t="s">
        <v>487</v>
      </c>
    </row>
    <row r="231" spans="1:1" s="30" customFormat="1" ht="15" customHeight="1" x14ac:dyDescent="0.25">
      <c r="A231" s="33" t="s">
        <v>488</v>
      </c>
    </row>
    <row r="232" spans="1:1" s="30" customFormat="1" ht="15" customHeight="1" x14ac:dyDescent="0.25">
      <c r="A232" s="33" t="s">
        <v>489</v>
      </c>
    </row>
    <row r="233" spans="1:1" s="30" customFormat="1" ht="15" customHeight="1" x14ac:dyDescent="0.25">
      <c r="A233" s="33" t="s">
        <v>490</v>
      </c>
    </row>
    <row r="234" spans="1:1" s="30" customFormat="1" ht="15" customHeight="1" x14ac:dyDescent="0.25">
      <c r="A234" s="33" t="s">
        <v>491</v>
      </c>
    </row>
    <row r="235" spans="1:1" s="30" customFormat="1" ht="15" customHeight="1" x14ac:dyDescent="0.25">
      <c r="A235" s="33" t="s">
        <v>492</v>
      </c>
    </row>
    <row r="236" spans="1:1" s="30" customFormat="1" ht="15" customHeight="1" x14ac:dyDescent="0.25">
      <c r="A236" s="33" t="s">
        <v>493</v>
      </c>
    </row>
    <row r="237" spans="1:1" s="30" customFormat="1" ht="15" customHeight="1" x14ac:dyDescent="0.25">
      <c r="A237" s="33" t="s">
        <v>494</v>
      </c>
    </row>
    <row r="238" spans="1:1" s="30" customFormat="1" ht="15" customHeight="1" x14ac:dyDescent="0.25">
      <c r="A238" s="33" t="s">
        <v>495</v>
      </c>
    </row>
    <row r="239" spans="1:1" s="30" customFormat="1" ht="15" customHeight="1" x14ac:dyDescent="0.25">
      <c r="A239" s="33" t="s">
        <v>496</v>
      </c>
    </row>
    <row r="240" spans="1:1" s="30" customFormat="1" ht="15" customHeight="1" x14ac:dyDescent="0.25">
      <c r="A240" s="33" t="s">
        <v>497</v>
      </c>
    </row>
    <row r="241" spans="1:1" s="30" customFormat="1" ht="15" customHeight="1" x14ac:dyDescent="0.25">
      <c r="A241" s="33" t="s">
        <v>498</v>
      </c>
    </row>
    <row r="242" spans="1:1" s="30" customFormat="1" ht="15" customHeight="1" x14ac:dyDescent="0.25">
      <c r="A242" s="33" t="s">
        <v>499</v>
      </c>
    </row>
    <row r="243" spans="1:1" s="30" customFormat="1" ht="15" customHeight="1" x14ac:dyDescent="0.25">
      <c r="A243" s="33" t="s">
        <v>500</v>
      </c>
    </row>
    <row r="244" spans="1:1" s="30" customFormat="1" ht="15" customHeight="1" x14ac:dyDescent="0.25">
      <c r="A244" s="33" t="s">
        <v>501</v>
      </c>
    </row>
    <row r="245" spans="1:1" s="30" customFormat="1" ht="15" customHeight="1" x14ac:dyDescent="0.25">
      <c r="A245" s="33" t="s">
        <v>502</v>
      </c>
    </row>
    <row r="246" spans="1:1" s="30" customFormat="1" ht="15" customHeight="1" x14ac:dyDescent="0.25">
      <c r="A246" s="33" t="s">
        <v>503</v>
      </c>
    </row>
    <row r="247" spans="1:1" s="30" customFormat="1" ht="15" customHeight="1" x14ac:dyDescent="0.25">
      <c r="A247" s="33" t="s">
        <v>504</v>
      </c>
    </row>
    <row r="248" spans="1:1" s="30" customFormat="1" ht="15" customHeight="1" x14ac:dyDescent="0.25">
      <c r="A248" s="33" t="s">
        <v>505</v>
      </c>
    </row>
    <row r="249" spans="1:1" s="30" customFormat="1" ht="15" customHeight="1" x14ac:dyDescent="0.25">
      <c r="A249" s="33" t="s">
        <v>506</v>
      </c>
    </row>
    <row r="250" spans="1:1" s="30" customFormat="1" ht="15" customHeight="1" x14ac:dyDescent="0.25">
      <c r="A250" s="33" t="s">
        <v>507</v>
      </c>
    </row>
    <row r="251" spans="1:1" s="30" customFormat="1" ht="14.25" customHeight="1" x14ac:dyDescent="0.25">
      <c r="A251" s="33">
        <v>181940</v>
      </c>
    </row>
    <row r="252" spans="1:1" s="30" customFormat="1" ht="15" customHeight="1" x14ac:dyDescent="0.25">
      <c r="A252" s="33">
        <v>181942</v>
      </c>
    </row>
    <row r="253" spans="1:1" s="35" customFormat="1" ht="15" customHeight="1" x14ac:dyDescent="0.25">
      <c r="A253" t="s">
        <v>174</v>
      </c>
    </row>
    <row r="254" spans="1:1" s="35" customFormat="1" ht="15" customHeight="1" x14ac:dyDescent="0.25">
      <c r="A254" t="s">
        <v>175</v>
      </c>
    </row>
    <row r="255" spans="1:1" s="35" customFormat="1" ht="15" customHeight="1" x14ac:dyDescent="0.25">
      <c r="A255" t="s">
        <v>176</v>
      </c>
    </row>
    <row r="256" spans="1:1" s="35" customFormat="1" ht="15" customHeight="1" x14ac:dyDescent="0.25">
      <c r="A256" t="s">
        <v>184</v>
      </c>
    </row>
    <row r="257" spans="1:1" s="35" customFormat="1" ht="15" customHeight="1" x14ac:dyDescent="0.25">
      <c r="A257" t="s">
        <v>177</v>
      </c>
    </row>
    <row r="258" spans="1:1" s="35" customFormat="1" ht="15" customHeight="1" x14ac:dyDescent="0.25">
      <c r="A258" t="s">
        <v>185</v>
      </c>
    </row>
    <row r="259" spans="1:1" s="35" customFormat="1" ht="15" customHeight="1" x14ac:dyDescent="0.25">
      <c r="A259" t="s">
        <v>178</v>
      </c>
    </row>
    <row r="260" spans="1:1" s="35" customFormat="1" ht="15" customHeight="1" x14ac:dyDescent="0.25">
      <c r="A260" t="s">
        <v>179</v>
      </c>
    </row>
    <row r="261" spans="1:1" s="35" customFormat="1" ht="15" customHeight="1" x14ac:dyDescent="0.25">
      <c r="A261" t="s">
        <v>180</v>
      </c>
    </row>
    <row r="262" spans="1:1" s="35" customFormat="1" ht="15" customHeight="1" x14ac:dyDescent="0.25">
      <c r="A262" t="s">
        <v>181</v>
      </c>
    </row>
    <row r="263" spans="1:1" s="35" customFormat="1" ht="15" customHeight="1" x14ac:dyDescent="0.25">
      <c r="A263" t="s">
        <v>186</v>
      </c>
    </row>
    <row r="264" spans="1:1" s="35" customFormat="1" ht="15" customHeight="1" x14ac:dyDescent="0.25">
      <c r="A264" t="s">
        <v>183</v>
      </c>
    </row>
    <row r="265" spans="1:1" s="35" customFormat="1" ht="15" customHeight="1" x14ac:dyDescent="0.25">
      <c r="A265" t="s">
        <v>187</v>
      </c>
    </row>
    <row r="266" spans="1:1" s="35" customFormat="1" ht="15" customHeight="1" x14ac:dyDescent="0.25">
      <c r="A266" t="s">
        <v>182</v>
      </c>
    </row>
    <row r="267" spans="1:1" s="30" customFormat="1" ht="14.25" customHeight="1" x14ac:dyDescent="0.25">
      <c r="A267" t="s">
        <v>188</v>
      </c>
    </row>
    <row r="268" spans="1:1" s="30" customFormat="1" ht="15" customHeight="1" x14ac:dyDescent="0.25">
      <c r="A268" t="s">
        <v>189</v>
      </c>
    </row>
    <row r="269" spans="1:1" s="30" customFormat="1" ht="15" customHeight="1" x14ac:dyDescent="0.25">
      <c r="A269" t="s">
        <v>191</v>
      </c>
    </row>
    <row r="270" spans="1:1" s="30" customFormat="1" ht="15" customHeight="1" x14ac:dyDescent="0.25">
      <c r="A270" t="s">
        <v>508</v>
      </c>
    </row>
    <row r="271" spans="1:1" s="30" customFormat="1" ht="15" customHeight="1" x14ac:dyDescent="0.25">
      <c r="A271" t="s">
        <v>194</v>
      </c>
    </row>
    <row r="272" spans="1:1" s="30" customFormat="1" ht="15" customHeight="1" x14ac:dyDescent="0.25">
      <c r="A272" t="s">
        <v>509</v>
      </c>
    </row>
    <row r="273" spans="1:1" s="30" customFormat="1" ht="15" customHeight="1" x14ac:dyDescent="0.25">
      <c r="A273" t="s">
        <v>192</v>
      </c>
    </row>
    <row r="274" spans="1:1" s="30" customFormat="1" ht="14.25" customHeight="1" x14ac:dyDescent="0.25">
      <c r="A274" t="s">
        <v>195</v>
      </c>
    </row>
    <row r="275" spans="1:1" s="30" customFormat="1" ht="15" customHeight="1" x14ac:dyDescent="0.25">
      <c r="A275" t="s">
        <v>196</v>
      </c>
    </row>
    <row r="276" spans="1:1" s="30" customFormat="1" ht="15" customHeight="1" x14ac:dyDescent="0.25">
      <c r="A276" t="s">
        <v>198</v>
      </c>
    </row>
    <row r="277" spans="1:1" s="30" customFormat="1" ht="15" customHeight="1" x14ac:dyDescent="0.25">
      <c r="A277" t="s">
        <v>510</v>
      </c>
    </row>
    <row r="278" spans="1:1" s="30" customFormat="1" ht="15" customHeight="1" x14ac:dyDescent="0.25">
      <c r="A278" t="s">
        <v>201</v>
      </c>
    </row>
    <row r="279" spans="1:1" s="30" customFormat="1" ht="15" customHeight="1" x14ac:dyDescent="0.25">
      <c r="A279" t="s">
        <v>511</v>
      </c>
    </row>
    <row r="280" spans="1:1" s="30" customFormat="1" ht="15" customHeight="1" x14ac:dyDescent="0.25">
      <c r="A280" t="s">
        <v>199</v>
      </c>
    </row>
    <row r="281" spans="1:1" s="30" customFormat="1" ht="15" customHeight="1" x14ac:dyDescent="0.25">
      <c r="A281" t="s">
        <v>168</v>
      </c>
    </row>
    <row r="282" spans="1:1" s="30" customFormat="1" ht="15" customHeight="1" x14ac:dyDescent="0.25">
      <c r="A282" t="s">
        <v>167</v>
      </c>
    </row>
    <row r="283" spans="1:1" s="30" customFormat="1" ht="15" customHeight="1" x14ac:dyDescent="0.25">
      <c r="A283" t="s">
        <v>169</v>
      </c>
    </row>
    <row r="284" spans="1:1" s="30" customFormat="1" ht="15" customHeight="1" x14ac:dyDescent="0.25">
      <c r="A284" t="s">
        <v>166</v>
      </c>
    </row>
    <row r="285" spans="1:1" s="30" customFormat="1" ht="15" customHeight="1" x14ac:dyDescent="0.25">
      <c r="A285" t="s">
        <v>172</v>
      </c>
    </row>
    <row r="286" spans="1:1" s="30" customFormat="1" ht="15" customHeight="1" x14ac:dyDescent="0.25">
      <c r="A286" t="s">
        <v>171</v>
      </c>
    </row>
    <row r="287" spans="1:1" s="30" customFormat="1" ht="15" customHeight="1" x14ac:dyDescent="0.25">
      <c r="A287" t="s">
        <v>173</v>
      </c>
    </row>
    <row r="288" spans="1:1" s="30" customFormat="1" ht="15" customHeight="1" x14ac:dyDescent="0.25">
      <c r="A288" t="s">
        <v>170</v>
      </c>
    </row>
    <row r="289" spans="1:3" s="30" customFormat="1" ht="15" customHeight="1" x14ac:dyDescent="0.25">
      <c r="A289" s="28">
        <v>180820</v>
      </c>
    </row>
    <row r="290" spans="1:3" s="30" customFormat="1" ht="14.25" customHeight="1" x14ac:dyDescent="0.25">
      <c r="A290" s="28">
        <v>180830</v>
      </c>
    </row>
    <row r="291" spans="1:3" s="30" customFormat="1" ht="15" customHeight="1" x14ac:dyDescent="0.25">
      <c r="A291" s="28">
        <v>180840</v>
      </c>
    </row>
    <row r="292" spans="1:3" s="30" customFormat="1" ht="15" customHeight="1" x14ac:dyDescent="0.25">
      <c r="A292" s="28">
        <v>180850</v>
      </c>
    </row>
    <row r="293" spans="1:3" x14ac:dyDescent="0.25">
      <c r="A293" s="24" t="s">
        <v>548</v>
      </c>
      <c r="B293" t="s">
        <v>532</v>
      </c>
      <c r="C293">
        <v>768</v>
      </c>
    </row>
    <row r="294" spans="1:3" x14ac:dyDescent="0.25">
      <c r="A294" s="24" t="s">
        <v>547</v>
      </c>
      <c r="B294" t="s">
        <v>533</v>
      </c>
      <c r="C294">
        <v>960</v>
      </c>
    </row>
  </sheetData>
  <protectedRanges>
    <protectedRange sqref="FT6:FT11 FT1:FT3 CJ1:EK11" name="Pricing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:EM11" name="Pricing_12_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:A11" name="Pricing_67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:GT11" name="Pricing_39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:GR11" name="Pricing_6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2:EK12 FT12" name="Pricing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2" name="Pricing_12_2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2" name="Pricing_67_1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2" name="Pricing_39_1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2" name="Pricing_66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3:EK13 FT13" name="Pricing_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3" name="Pricing_12_2_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3" name="Pricing_67_1_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3" name="Pricing_39_1_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3" name="Pricing_66_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4:EK14 FT14" name="Pricing_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4" name="Pricing_12_2_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4" name="Pricing_67_1_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4" name="Pricing_39_1_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4" name="Pricing_66_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5:EK15 FT15" name="Pricing_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5" name="Pricing_12_2_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5" name="Pricing_67_1_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5" name="Pricing_39_1_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5" name="Pricing_66_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6:EK16 FT16" name="Pricing_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6" name="Pricing_12_2_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6" name="Pricing_67_1_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6" name="Pricing_39_1_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6" name="Pricing_66_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7:EK17 FT17" name="Pricing_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7" name="Pricing_12_2_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7" name="Pricing_67_1_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7" name="Pricing_39_1_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7" name="Pricing_66_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8:EK18 FT18" name="Pricing_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8" name="Pricing_12_2_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8" name="Pricing_67_1_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8" name="Pricing_39_1_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8" name="Pricing_66_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9:EK19 FT19" name="Pricing_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9" name="Pricing_12_2_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9" name="Pricing_67_1_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9" name="Pricing_39_1_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9" name="Pricing_66_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0:EK20 FT20" name="Pricing_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0" name="Pricing_12_2_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0" name="Pricing_67_1_1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0" name="Pricing_39_1_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0" name="Pricing_66_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1:EK21 FT21" name="Pricing_1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1" name="Pricing_12_2_1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1" name="Pricing_67_1_1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1" name="Pricing_39_1_1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1" name="Pricing_66_1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2:EK22 FT22" name="Pricing_1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2" name="Pricing_12_2_1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2" name="Pricing_67_1_1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2" name="Pricing_39_1_1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2" name="Pricing_66_1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3:EK23 FT23" name="Pricing_1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3" name="Pricing_12_2_1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3" name="Pricing_67_1_1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3" name="Pricing_39_1_1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3" name="Pricing_66_1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4:EK24 FT24" name="Pricing_1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4" name="Pricing_12_2_1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4" name="Pricing_67_1_1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4" name="Pricing_39_1_1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4" name="Pricing_66_1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5:EK25 FT25" name="Pricing_1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5" name="Pricing_12_2_1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5" name="Pricing_67_1_1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5" name="Pricing_39_1_1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5" name="Pricing_66_1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6:EK26 FT26" name="Pricing_1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6" name="Pricing_12_2_1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6" name="Pricing_67_1_1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6" name="Pricing_39_1_1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6" name="Pricing_66_1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FT27 CJ27:EK27" name="Pricing_1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7" name="Pricing_12_2_1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7" name="Pricing_39_1_1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FT28 CJ28:EK28" name="Pricing_1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8" name="Pricing_12_2_1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8" name="Pricing_39_1_1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9:EK29 FT29" name="Pricing_1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9" name="Pricing_12_2_1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44 A29" name="Pricing_67_1_1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9" name="Pricing_39_1_1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9" name="Pricing_66_1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0:EK30 FT30" name="Pricing_1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0" name="Pricing_12_2_1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45 A30" name="Pricing_67_1_2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0" name="Pricing_39_1_1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0" name="Pricing_66_1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1:EK31 FT31" name="Pricing_2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1" name="Pricing_12_2_2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46 A31" name="Pricing_67_1_2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1" name="Pricing_39_1_2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1" name="Pricing_66_1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2:EK32 FT32" name="Pricing_2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2" name="Pricing_12_2_2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47 A32" name="Pricing_67_1_2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2" name="Pricing_39_1_2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2" name="Pricing_66_1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3:EK33 FT33" name="Pricing_2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3" name="Pricing_12_2_2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48 A33" name="Pricing_67_1_2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3" name="Pricing_39_1_2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3" name="Pricing_66_2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4:EK34 FT34" name="Pricing_2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4" name="Pricing_12_2_2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49 A34" name="Pricing_67_1_2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4" name="Pricing_39_1_2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4" name="Pricing_66_2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5:EK35 FT35" name="Pricing_2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5" name="Pricing_12_2_2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50 A35" name="Pricing_67_1_2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5" name="Pricing_39_1_2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5" name="Pricing_66_2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6:EK36 FT36" name="Pricing_2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6" name="Pricing_12_2_2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51 A36" name="Pricing_67_1_2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6" name="Pricing_39_1_2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6" name="Pricing_66_2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7:EK37 FT37" name="Pricing_2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7" name="Pricing_12_2_2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56:A58 A52 A41:A43 A37" name="Pricing_67_1_2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7" name="Pricing_39_1_2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7" name="Pricing_66_2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8:EK38 FT38" name="Pricing_2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8" name="Pricing_12_2_2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55 A40 A53 A38" name="Pricing_67_1_2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8" name="Pricing_39_1_2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8" name="Pricing_66_2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39:EK39 FT39" name="Pricing_2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39" name="Pricing_12_2_2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54 A39" name="Pricing_67_1_2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39" name="Pricing_39_1_2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39" name="Pricing_66_2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0:EK40 FT40" name="Pricing_2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0" name="Pricing_12_2_2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0" name="Pricing_39_1_2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0" name="Pricing_66_2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1:EK41 FT41" name="Pricing_3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1" name="Pricing_12_2_3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1" name="Pricing_39_1_3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1" name="Pricing_66_2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2:EK42 FT42" name="Pricing_3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2" name="Pricing_12_2_3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2" name="Pricing_39_1_3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2" name="Pricing_66_2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3:EK43 FT43" name="Pricing_3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3" name="Pricing_12_2_3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3" name="Pricing_39_1_3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3" name="Pricing_66_3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4:EK44 FT44" name="Pricing_3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4" name="Pricing_12_2_3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4" name="Pricing_39_1_3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4" name="Pricing_66_3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5:EK45 FT45" name="Pricing_3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5" name="Pricing_12_2_3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5" name="Pricing_39_1_3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5" name="Pricing_66_3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6:EK46 FT46" name="Pricing_3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6" name="Pricing_12_2_3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6" name="Pricing_39_1_3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6" name="Pricing_66_3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7:EK47 FT47" name="Pricing_3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7" name="Pricing_12_2_3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7" name="Pricing_39_1_3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7" name="Pricing_66_3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8:EK48 FT48" name="Pricing_3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8" name="Pricing_12_2_3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8" name="Pricing_39_1_3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8" name="Pricing_66_3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49:EK49 FT49" name="Pricing_3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49" name="Pricing_12_2_3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49" name="Pricing_39_1_3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49" name="Pricing_66_3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0:EK50 FT50" name="Pricing_3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0" name="Pricing_12_2_3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0" name="Pricing_39_1_3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0" name="Pricing_66_3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1:EK51 FT51" name="Pricing_4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1" name="Pricing_12_2_4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1" name="Pricing_39_1_4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1" name="Pricing_66_3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2:EK52 FT52" name="Pricing_4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2" name="Pricing_12_2_4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2" name="Pricing_39_1_4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2" name="Pricing_66_3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3:EK53 FT53" name="Pricing_4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3" name="Pricing_12_2_4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3" name="Pricing_39_1_4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3" name="Pricing_66_4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4:EK54 FT54" name="Pricing_4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4" name="Pricing_12_2_4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4" name="Pricing_39_1_4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4" name="Pricing_66_4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5:EK55 FT55" name="Pricing_4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5" name="Pricing_12_2_4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5" name="Pricing_39_1_4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5" name="Pricing_66_4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6:EK56 FT56" name="Pricing_4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6" name="Pricing_12_2_4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6" name="Pricing_39_1_4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6" name="Pricing_66_4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7:EK57 FT57" name="Pricing_4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7" name="Pricing_12_2_4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7" name="Pricing_39_1_4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7" name="Pricing_66_4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8:EK58 FT58" name="Pricing_4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8" name="Pricing_12_2_4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8" name="Pricing_39_1_4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8" name="Pricing_66_4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59:EK59 FT59" name="Pricing_4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59" name="Pricing_12_2_4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59" name="Pricing_67_1_4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59" name="Pricing_39_1_4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59" name="Pricing_66_4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60:EK60 FT60" name="Pricing_4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60" name="Pricing_12_2_4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60" name="Pricing_67_1_5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60" name="Pricing_39_1_4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60" name="Pricing_66_4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61:EK61 FT61" name="Pricing_5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61" name="Pricing_12_2_5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61" name="Pricing_67_1_5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61" name="Pricing_39_1_5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61" name="Pricing_66_4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62:EK62 FT62" name="Pricing_5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62" name="Pricing_12_2_5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62" name="Pricing_67_1_5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62" name="Pricing_39_1_5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62" name="Pricing_66_4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63:EK63 FT63" name="Pricing_5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63" name="Pricing_12_2_5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63" name="Pricing_67_1_5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63" name="Pricing_39_1_5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63" name="Pricing_66_5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64:EK64 FT64" name="Pricing_5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64" name="Pricing_12_2_5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64" name="Pricing_67_1_5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64" name="Pricing_39_1_5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64" name="Pricing_66_5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65:EK65 FT65" name="Pricing_5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65" name="Pricing_12_2_5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65" name="Pricing_67_1_5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65" name="Pricing_39_1_5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65" name="Pricing_66_5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66:EK66 FT66" name="Pricing_5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66" name="Pricing_12_2_5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66" name="Pricing_67_1_5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66" name="Pricing_39_1_5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66" name="Pricing_66_5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67:EK67 FT67" name="Pricing_5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67" name="Pricing_12_2_5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67" name="Pricing_67_1_5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67" name="Pricing_39_1_5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67" name="Pricing_66_5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68:EK77 FT68:FT77" name="Pricing_5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68:EM77" name="Pricing_12_2_5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68:A77" name="Pricing_67_1_5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68:GT77" name="Pricing_39_1_5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68:GR77" name="Pricing_66_5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78:EK87 FT78:FT87" name="Pricing_5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78:EM87" name="Pricing_12_2_5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78:A87" name="Pricing_67_1_5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78:GT87" name="Pricing_39_1_5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78:GR87" name="Pricing_66_5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88:EK97 FT88:FT97" name="Pricing_5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88:EM97" name="Pricing_12_2_5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88:A97" name="Pricing_67_1_6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88:GT97" name="Pricing_39_1_5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88:GR97" name="Pricing_66_5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98:EK107 FT98:FT107" name="Pricing_6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98:EM107" name="Pricing_12_2_6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98:A107" name="Pricing_67_1_6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98:GT107" name="Pricing_39_1_6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98:GR107" name="Pricing_66_5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08:EK117 FT108:FT117" name="Pricing_6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08:EM117" name="Pricing_12_2_6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08:A117" name="Pricing_67_1_6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08:GT117" name="Pricing_39_1_6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08:GR117" name="Pricing_66_5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18:EK127 FT118:FT127" name="Pricing_6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18:EM127" name="Pricing_12_2_6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18:A127" name="Pricing_67_1_6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18:GT127" name="Pricing_39_1_6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18:GR127" name="Pricing_66_6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28:EK137 FT128:FT137" name="Pricing_6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28:EM137" name="Pricing_12_2_6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28:A137" name="Pricing_67_1_6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28:GT137" name="Pricing_39_1_6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28:GR137" name="Pricing_66_6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38:EK147 FT138:FT147" name="Pricing_6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38:EM147" name="Pricing_12_2_6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38:A147" name="Pricing_67_1_6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38:GT147" name="Pricing_39_1_6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38:GR147" name="Pricing_66_6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48:EK154 FT148:FT154" name="Pricing_6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48:EM154" name="Pricing_12_2_6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48:A154" name="Pricing_67_1_6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48:GT154" name="Pricing_39_1_6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48:GR154" name="Pricing_66_6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55:EK155 FT155" name="Pricing_6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55" name="Pricing_12_2_6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55" name="Pricing_67_1_6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55" name="Pricing_39_1_6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55" name="Pricing_66_6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56:EK156 FT156" name="Pricing_6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56" name="Pricing_12_2_6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56" name="Pricing_67_1_6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56" name="Pricing_39_1_6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56" name="Pricing_66_6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57:EK157 FT157" name="Pricing_7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57" name="Pricing_12_2_6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57" name="Pricing_67_1_6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57" name="Pricing_39_1_6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57" name="Pricing_66_6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58:EK158 FT158" name="Pricing_7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58" name="Pricing_12_2_6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58" name="Pricing_67_1_7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58" name="Pricing_39_1_6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58" name="Pricing_66_6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59:EK159 FT159" name="Pricing_7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59" name="Pricing_12_2_7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59" name="Pricing_67_1_7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59" name="Pricing_39_1_7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59" name="Pricing_66_6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60:EK160 FT160" name="Pricing_7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60" name="Pricing_12_2_7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60" name="Pricing_67_1_7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60" name="Pricing_39_1_7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60" name="Pricing_66_6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61:EK161 FT161" name="Pricing_7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61" name="Pricing_12_2_7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61" name="Pricing_67_1_7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61" name="Pricing_39_1_7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61" name="Pricing_66_7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62:EK162 FT162" name="Pricing_7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62" name="Pricing_12_2_7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62" name="Pricing_67_1_7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62" name="Pricing_39_1_7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62" name="Pricing_66_7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63:EK163 FT163" name="Pricing_7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63" name="Pricing_12_2_7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63" name="Pricing_67_1_7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63" name="Pricing_39_1_7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63" name="Pricing_66_7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64:EK173 FT164:FT173" name="Pricing_7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64:EM173" name="Pricing_12_2_7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64:A173" name="Pricing_67_1_7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64:GT173" name="Pricing_39_1_7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64:GR173" name="Pricing_66_7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74:EK183 FT174:FT183" name="Pricing_7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74:EM183" name="Pricing_12_2_7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74:A183" name="Pricing_67_1_7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74:GT183" name="Pricing_39_1_7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74:GR183" name="Pricing_66_7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84:EK193 FT184:FT193" name="Pricing_8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84:EM193" name="Pricing_12_2_7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84:A193" name="Pricing_67_1_7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84:GT193" name="Pricing_39_1_7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84:GR193" name="Pricing_66_7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194:EK203 FT194:FT203" name="Pricing_8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194:EM203" name="Pricing_12_2_7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194:A203" name="Pricing_67_1_7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194:GT203" name="Pricing_39_1_7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194:GR203" name="Pricing_66_7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04:EK213 FT204:FT213" name="Pricing_8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04:EM213" name="Pricing_12_2_7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04:A213" name="Pricing_67_1_8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04:GT213" name="Pricing_39_1_7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04:GR213" name="Pricing_66_7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14:EK223 FT214:FT223" name="Pricing_8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14:EM223" name="Pricing_12_2_8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14:A223" name="Pricing_67_1_8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14:GT223" name="Pricing_39_1_8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14:GR223" name="Pricing_66_7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24:EK233 FT224:FT233" name="Pricing_8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24:EM233" name="Pricing_12_2_8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24:A233" name="Pricing_67_1_8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24:GT233" name="Pricing_39_1_8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24:GR233" name="Pricing_66_7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34:EK243 FT234:FT243" name="Pricing_8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34:EM243" name="Pricing_12_2_8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34:A243" name="Pricing_67_1_8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34:GT243" name="Pricing_39_1_8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34:GR243" name="Pricing_66_8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44:EK250 FT244:FT250" name="Pricing_8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44:EM250" name="Pricing_12_2_8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44:A250" name="Pricing_67_1_8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44:GT250" name="Pricing_39_1_8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44:GR250" name="Pricing_66_8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51:EK252 FT251:FT252" name="Pricing_8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51:EM252" name="Pricing_12_2_8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51:A252" name="Pricing_67_1_8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51:GT252" name="Pricing_39_1_8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51:GR252" name="Pricing_66_8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53:EK259 FT253:FT259" name="Pricing_8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53:EM259" name="Pricing_12_2_8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53:A280" name="Pricing_67_1_8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53:GT259" name="Pricing_39_1_8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53:GR259" name="Pricing_66_8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60:EK266 FT260:FT266" name="Pricing_8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60:EM266" name="Pricing_12_2_8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60:GT266" name="Pricing_39_1_8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60:GR266" name="Pricing_66_8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67:EK273 FT267:FT273" name="Pricing_9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67:EM273" name="Pricing_12_2_8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67:GT273" name="Pricing_39_1_8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67:GR273" name="Pricing_66_8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74:EK280 FT274:FT280" name="Pricing_9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74:EM280" name="Pricing_12_2_8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74:GT280" name="Pricing_39_1_8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74:GR280" name="Pricing_66_8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81:EK284 FT281:FT284" name="Pricing_9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81:EM284" name="Pricing_12_2_8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81:A284" name="Pricing_67_1_9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81:GT284" name="Pricing_39_1_8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81:GR284" name="Pricing_66_8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85:EK288 FT285:FT288" name="Pricing_9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85:EM288" name="Pricing_12_2_9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85:A288" name="Pricing_67_1_9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85:GT288" name="Pricing_39_1_9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85:GR288" name="Pricing_66_8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CJ289:EK292 FT289:FT292" name="Pricing_9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EM289:EM292" name="Pricing_12_2_9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A289:A292" name="Pricing_67_1_9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T289:GT292" name="Pricing_39_1_9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GR289:GR292" name="Pricing_66_8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1:B11" name="Pricing_67_1_9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12" name="Pricing_67_1_1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13" name="Pricing_67_1_1_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14" name="Pricing_67_1_1_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15" name="Pricing_67_1_1_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16" name="Pricing_67_1_1_5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17" name="Pricing_67_1_1_6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18" name="Pricing_67_1_1_7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19" name="Pricing_67_1_1_8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20" name="Pricing_67_1_1_9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21" name="Pricing_67_1_1_10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22" name="Pricing_67_1_1_1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23" name="Pricing_67_1_13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24" name="Pricing_67_1_13_2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25" name="Pricing_67_1_13_3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  <protectedRange sqref="B26" name="Pricing_67_1_13_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</protectedRange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6"/>
  <sheetViews>
    <sheetView workbookViewId="0">
      <selection activeCell="E4" sqref="E4"/>
    </sheetView>
  </sheetViews>
  <sheetFormatPr defaultRowHeight="15" x14ac:dyDescent="0.25"/>
  <sheetData>
    <row r="1" spans="1:16" x14ac:dyDescent="0.25">
      <c r="B1" s="234" t="s">
        <v>141</v>
      </c>
      <c r="C1" s="234"/>
      <c r="D1" s="234"/>
      <c r="E1" s="234"/>
      <c r="F1" s="234"/>
      <c r="G1" s="234" t="s">
        <v>142</v>
      </c>
      <c r="H1" s="234"/>
      <c r="I1" s="234"/>
      <c r="J1" s="234"/>
      <c r="K1" s="234"/>
      <c r="L1" s="234" t="s">
        <v>143</v>
      </c>
      <c r="M1" s="234"/>
      <c r="N1" s="234"/>
      <c r="O1" s="234"/>
      <c r="P1" s="234"/>
    </row>
    <row r="2" spans="1:16" x14ac:dyDescent="0.25">
      <c r="A2" t="s">
        <v>140</v>
      </c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</row>
    <row r="3" spans="1:16" x14ac:dyDescent="0.25">
      <c r="A3" t="s">
        <v>1</v>
      </c>
      <c r="B3">
        <v>180432</v>
      </c>
      <c r="D3" t="s">
        <v>144</v>
      </c>
      <c r="E3">
        <v>12</v>
      </c>
      <c r="G3">
        <v>180984</v>
      </c>
      <c r="I3" t="s">
        <v>146</v>
      </c>
      <c r="J3">
        <v>72</v>
      </c>
      <c r="L3">
        <v>180455</v>
      </c>
      <c r="N3" t="s">
        <v>148</v>
      </c>
      <c r="O3">
        <v>100</v>
      </c>
    </row>
    <row r="4" spans="1:16" x14ac:dyDescent="0.25">
      <c r="A4" t="s">
        <v>1</v>
      </c>
      <c r="B4">
        <v>180434</v>
      </c>
      <c r="D4" t="s">
        <v>305</v>
      </c>
      <c r="E4">
        <v>48</v>
      </c>
      <c r="G4">
        <v>180985</v>
      </c>
      <c r="I4" s="31" t="s">
        <v>311</v>
      </c>
      <c r="J4">
        <v>144</v>
      </c>
    </row>
    <row r="5" spans="1:16" x14ac:dyDescent="0.25">
      <c r="A5" t="s">
        <v>1</v>
      </c>
      <c r="G5">
        <v>180986</v>
      </c>
      <c r="I5" s="31" t="s">
        <v>312</v>
      </c>
      <c r="J5">
        <v>144</v>
      </c>
    </row>
    <row r="6" spans="1:16" x14ac:dyDescent="0.25">
      <c r="A6" t="s">
        <v>2</v>
      </c>
      <c r="B6">
        <v>180462</v>
      </c>
      <c r="D6" t="s">
        <v>145</v>
      </c>
      <c r="E6">
        <v>12</v>
      </c>
      <c r="G6">
        <v>180994</v>
      </c>
      <c r="I6" t="s">
        <v>147</v>
      </c>
      <c r="J6">
        <v>72</v>
      </c>
      <c r="L6">
        <v>180485</v>
      </c>
      <c r="N6" t="s">
        <v>149</v>
      </c>
      <c r="O6">
        <v>100</v>
      </c>
    </row>
  </sheetData>
  <protectedRanges>
    <protectedRange sqref="I4:I5" name="Pricing_67_1_94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</protectedRanges>
  <mergeCells count="3">
    <mergeCell ref="B1:F1"/>
    <mergeCell ref="G1:K1"/>
    <mergeCell ref="L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0"/>
  <sheetViews>
    <sheetView workbookViewId="0">
      <selection activeCell="F4" sqref="F4:F19"/>
    </sheetView>
  </sheetViews>
  <sheetFormatPr defaultRowHeight="15" x14ac:dyDescent="0.25"/>
  <cols>
    <col min="1" max="1" width="32.85546875" bestFit="1" customWidth="1"/>
  </cols>
  <sheetData>
    <row r="1" spans="1:12" x14ac:dyDescent="0.25">
      <c r="B1" s="234" t="s">
        <v>99</v>
      </c>
      <c r="C1" s="234"/>
      <c r="D1" s="234"/>
      <c r="E1" s="234"/>
      <c r="F1" s="234"/>
      <c r="G1" s="234" t="s">
        <v>100</v>
      </c>
      <c r="H1" s="234"/>
      <c r="I1" s="234"/>
      <c r="J1" s="234"/>
      <c r="K1" s="234"/>
    </row>
    <row r="2" spans="1:12" x14ac:dyDescent="0.25">
      <c r="A2" t="s">
        <v>40</v>
      </c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571</v>
      </c>
    </row>
    <row r="4" spans="1:12" x14ac:dyDescent="0.25">
      <c r="A4" t="s">
        <v>42</v>
      </c>
      <c r="B4">
        <v>181900</v>
      </c>
      <c r="C4" t="s">
        <v>56</v>
      </c>
      <c r="D4" t="s">
        <v>125</v>
      </c>
      <c r="E4">
        <v>12</v>
      </c>
      <c r="G4">
        <v>181900</v>
      </c>
      <c r="H4" t="s">
        <v>57</v>
      </c>
      <c r="I4" t="s">
        <v>125</v>
      </c>
      <c r="J4">
        <v>96</v>
      </c>
      <c r="L4" s="44">
        <v>268621</v>
      </c>
    </row>
    <row r="5" spans="1:12" x14ac:dyDescent="0.25">
      <c r="A5" t="s">
        <v>43</v>
      </c>
      <c r="B5">
        <v>181900</v>
      </c>
      <c r="C5" t="s">
        <v>58</v>
      </c>
      <c r="D5" t="s">
        <v>126</v>
      </c>
      <c r="E5">
        <v>12</v>
      </c>
      <c r="G5">
        <v>181900</v>
      </c>
      <c r="H5" t="s">
        <v>59</v>
      </c>
      <c r="I5" t="s">
        <v>126</v>
      </c>
      <c r="J5">
        <v>96</v>
      </c>
      <c r="L5" s="44">
        <v>182851</v>
      </c>
    </row>
    <row r="6" spans="1:12" x14ac:dyDescent="0.25">
      <c r="A6" t="s">
        <v>44</v>
      </c>
      <c r="B6">
        <v>181900</v>
      </c>
      <c r="C6" t="s">
        <v>60</v>
      </c>
      <c r="D6" t="s">
        <v>127</v>
      </c>
      <c r="E6">
        <v>12</v>
      </c>
      <c r="G6">
        <v>181900</v>
      </c>
      <c r="H6" t="s">
        <v>61</v>
      </c>
      <c r="I6" t="s">
        <v>127</v>
      </c>
      <c r="J6">
        <v>96</v>
      </c>
      <c r="L6" s="44">
        <v>236319</v>
      </c>
    </row>
    <row r="7" spans="1:12" x14ac:dyDescent="0.25">
      <c r="A7" t="s">
        <v>45</v>
      </c>
      <c r="B7">
        <v>181900</v>
      </c>
      <c r="C7" t="s">
        <v>62</v>
      </c>
      <c r="D7" t="s">
        <v>128</v>
      </c>
      <c r="E7">
        <v>12</v>
      </c>
      <c r="G7">
        <v>181900</v>
      </c>
      <c r="H7" t="s">
        <v>63</v>
      </c>
      <c r="I7" t="s">
        <v>128</v>
      </c>
      <c r="J7">
        <v>96</v>
      </c>
      <c r="L7" s="44">
        <v>191170</v>
      </c>
    </row>
    <row r="8" spans="1:12" x14ac:dyDescent="0.25">
      <c r="A8" t="s">
        <v>46</v>
      </c>
      <c r="B8">
        <v>181900</v>
      </c>
      <c r="C8" t="s">
        <v>64</v>
      </c>
      <c r="D8" t="s">
        <v>129</v>
      </c>
      <c r="E8">
        <v>12</v>
      </c>
      <c r="G8">
        <v>181900</v>
      </c>
      <c r="H8" t="s">
        <v>65</v>
      </c>
      <c r="I8" t="s">
        <v>129</v>
      </c>
      <c r="J8">
        <v>96</v>
      </c>
      <c r="L8" s="44">
        <v>332999</v>
      </c>
    </row>
    <row r="9" spans="1:12" x14ac:dyDescent="0.25">
      <c r="A9" t="s">
        <v>47</v>
      </c>
      <c r="B9">
        <v>181900</v>
      </c>
      <c r="C9" t="s">
        <v>66</v>
      </c>
      <c r="D9" t="s">
        <v>130</v>
      </c>
      <c r="E9">
        <v>12</v>
      </c>
      <c r="G9">
        <v>181900</v>
      </c>
      <c r="H9" t="s">
        <v>67</v>
      </c>
      <c r="I9" t="s">
        <v>130</v>
      </c>
      <c r="J9">
        <v>96</v>
      </c>
      <c r="L9" s="44">
        <v>189058</v>
      </c>
    </row>
    <row r="10" spans="1:12" x14ac:dyDescent="0.25">
      <c r="A10" t="s">
        <v>48</v>
      </c>
      <c r="B10">
        <v>181900</v>
      </c>
      <c r="C10" t="s">
        <v>68</v>
      </c>
      <c r="D10" t="s">
        <v>131</v>
      </c>
      <c r="E10">
        <v>12</v>
      </c>
      <c r="G10">
        <v>181900</v>
      </c>
      <c r="H10" t="s">
        <v>69</v>
      </c>
      <c r="I10" t="s">
        <v>131</v>
      </c>
      <c r="J10">
        <v>96</v>
      </c>
      <c r="L10" s="44">
        <v>167195</v>
      </c>
    </row>
    <row r="11" spans="1:12" x14ac:dyDescent="0.25">
      <c r="A11" t="s">
        <v>49</v>
      </c>
      <c r="B11">
        <v>181900</v>
      </c>
      <c r="C11" t="s">
        <v>70</v>
      </c>
      <c r="D11" t="s">
        <v>132</v>
      </c>
      <c r="E11">
        <v>12</v>
      </c>
      <c r="G11">
        <v>181900</v>
      </c>
      <c r="H11" t="s">
        <v>71</v>
      </c>
      <c r="I11" t="s">
        <v>132</v>
      </c>
      <c r="J11">
        <v>96</v>
      </c>
      <c r="L11" s="44">
        <v>222333</v>
      </c>
    </row>
    <row r="12" spans="1:12" x14ac:dyDescent="0.25">
      <c r="A12" t="s">
        <v>50</v>
      </c>
      <c r="B12">
        <v>181900</v>
      </c>
      <c r="C12" t="s">
        <v>72</v>
      </c>
      <c r="D12" t="s">
        <v>133</v>
      </c>
      <c r="E12">
        <v>12</v>
      </c>
      <c r="G12">
        <v>181900</v>
      </c>
      <c r="H12" t="s">
        <v>73</v>
      </c>
      <c r="I12" t="s">
        <v>133</v>
      </c>
      <c r="J12">
        <v>96</v>
      </c>
      <c r="L12" s="44">
        <v>249727</v>
      </c>
    </row>
    <row r="13" spans="1:12" x14ac:dyDescent="0.25">
      <c r="A13" t="s">
        <v>51</v>
      </c>
      <c r="B13">
        <v>181901</v>
      </c>
      <c r="C13" t="s">
        <v>74</v>
      </c>
      <c r="D13" t="s">
        <v>134</v>
      </c>
      <c r="E13">
        <v>12</v>
      </c>
      <c r="G13">
        <v>181901</v>
      </c>
      <c r="H13" t="s">
        <v>75</v>
      </c>
      <c r="I13" t="s">
        <v>134</v>
      </c>
      <c r="J13">
        <v>96</v>
      </c>
      <c r="L13" s="44">
        <v>664735</v>
      </c>
    </row>
    <row r="14" spans="1:12" x14ac:dyDescent="0.25">
      <c r="A14" t="s">
        <v>52</v>
      </c>
      <c r="B14">
        <v>181901</v>
      </c>
      <c r="C14" t="s">
        <v>76</v>
      </c>
      <c r="D14" t="s">
        <v>135</v>
      </c>
      <c r="E14">
        <v>12</v>
      </c>
      <c r="G14">
        <v>181901</v>
      </c>
      <c r="H14" t="s">
        <v>77</v>
      </c>
      <c r="I14" t="s">
        <v>135</v>
      </c>
      <c r="J14">
        <v>96</v>
      </c>
      <c r="L14" s="44">
        <v>620318</v>
      </c>
    </row>
    <row r="15" spans="1:12" x14ac:dyDescent="0.25">
      <c r="A15" t="s">
        <v>53</v>
      </c>
      <c r="B15">
        <v>181901</v>
      </c>
      <c r="C15" t="s">
        <v>82</v>
      </c>
      <c r="D15" t="s">
        <v>136</v>
      </c>
      <c r="E15">
        <v>12</v>
      </c>
      <c r="G15">
        <v>181901</v>
      </c>
      <c r="H15" t="s">
        <v>83</v>
      </c>
      <c r="I15" t="s">
        <v>136</v>
      </c>
      <c r="J15">
        <v>96</v>
      </c>
      <c r="L15" s="44">
        <v>744835</v>
      </c>
    </row>
    <row r="16" spans="1:12" x14ac:dyDescent="0.25">
      <c r="A16" t="s">
        <v>54</v>
      </c>
      <c r="B16">
        <v>181900</v>
      </c>
      <c r="C16" t="s">
        <v>78</v>
      </c>
      <c r="D16" t="s">
        <v>137</v>
      </c>
      <c r="E16">
        <v>12</v>
      </c>
      <c r="G16">
        <v>181900</v>
      </c>
      <c r="H16" t="s">
        <v>79</v>
      </c>
      <c r="I16" t="s">
        <v>137</v>
      </c>
      <c r="J16">
        <v>96</v>
      </c>
      <c r="L16" s="44">
        <v>39603</v>
      </c>
    </row>
    <row r="17" spans="1:12" x14ac:dyDescent="0.25">
      <c r="A17" t="s">
        <v>297</v>
      </c>
      <c r="B17">
        <v>181900</v>
      </c>
      <c r="C17" t="s">
        <v>298</v>
      </c>
      <c r="D17" t="s">
        <v>299</v>
      </c>
      <c r="E17">
        <v>12</v>
      </c>
      <c r="G17">
        <v>181900</v>
      </c>
      <c r="H17" t="s">
        <v>300</v>
      </c>
      <c r="I17" t="s">
        <v>299</v>
      </c>
      <c r="J17">
        <v>96</v>
      </c>
      <c r="L17" s="44">
        <v>21472</v>
      </c>
    </row>
    <row r="18" spans="1:12" x14ac:dyDescent="0.25">
      <c r="A18" t="s">
        <v>55</v>
      </c>
      <c r="B18">
        <v>181900</v>
      </c>
      <c r="C18" t="s">
        <v>80</v>
      </c>
      <c r="D18" t="s">
        <v>138</v>
      </c>
      <c r="E18">
        <v>12</v>
      </c>
      <c r="G18">
        <v>181900</v>
      </c>
      <c r="H18" t="s">
        <v>81</v>
      </c>
      <c r="I18" t="s">
        <v>138</v>
      </c>
      <c r="J18">
        <v>96</v>
      </c>
      <c r="L18" s="44">
        <v>7104</v>
      </c>
    </row>
    <row r="19" spans="1:12" x14ac:dyDescent="0.25">
      <c r="A19" t="s">
        <v>84</v>
      </c>
    </row>
    <row r="20" spans="1:12" x14ac:dyDescent="0.25">
      <c r="A20" t="s">
        <v>85</v>
      </c>
    </row>
  </sheetData>
  <mergeCells count="2">
    <mergeCell ref="B1:F1"/>
    <mergeCell ref="G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19</vt:i4>
      </vt:variant>
    </vt:vector>
  </HeadingPairs>
  <TitlesOfParts>
    <vt:vector size="37" baseType="lpstr">
      <vt:lpstr>Input</vt:lpstr>
      <vt:lpstr>Workflow products</vt:lpstr>
      <vt:lpstr>Lib Quant IT</vt:lpstr>
      <vt:lpstr>Lib Quant IL</vt:lpstr>
      <vt:lpstr>Lib Quant</vt:lpstr>
      <vt:lpstr>Sequencing Specs</vt:lpstr>
      <vt:lpstr>ProdNames</vt:lpstr>
      <vt:lpstr>Library Construction&amp;Amp</vt:lpstr>
      <vt:lpstr>Panels</vt:lpstr>
      <vt:lpstr>Input Guide</vt:lpstr>
      <vt:lpstr>Products Guide</vt:lpstr>
      <vt:lpstr>Sheet2</vt:lpstr>
      <vt:lpstr>QuantiMIZE</vt:lpstr>
      <vt:lpstr>Clean up</vt:lpstr>
      <vt:lpstr>AMPure calc</vt:lpstr>
      <vt:lpstr>Sequencing</vt:lpstr>
      <vt:lpstr>Sheet13</vt:lpstr>
      <vt:lpstr>SeqOutputs</vt:lpstr>
      <vt:lpstr>AllCatalogedPanels</vt:lpstr>
      <vt:lpstr>AMPure</vt:lpstr>
      <vt:lpstr>CatalogedPanels</vt:lpstr>
      <vt:lpstr>CleanUp</vt:lpstr>
      <vt:lpstr>CleanUp2</vt:lpstr>
      <vt:lpstr>Illumina</vt:lpstr>
      <vt:lpstr>IonTorrent</vt:lpstr>
      <vt:lpstr>LibConstruction</vt:lpstr>
      <vt:lpstr>'Lib Quant IL'!LibQuant</vt:lpstr>
      <vt:lpstr>'Lib Quant IT'!LibQuant</vt:lpstr>
      <vt:lpstr>LibQuant</vt:lpstr>
      <vt:lpstr>LibQuantIL</vt:lpstr>
      <vt:lpstr>LibQuantIT</vt:lpstr>
      <vt:lpstr>MiSeq</vt:lpstr>
      <vt:lpstr>'Workflow products'!Print_Area</vt:lpstr>
      <vt:lpstr>ProdNames</vt:lpstr>
      <vt:lpstr>QuantiMIZE</vt:lpstr>
      <vt:lpstr>QuantiMIZEArray</vt:lpstr>
      <vt:lpstr>QuantiMIZEproducts</vt:lpstr>
    </vt:vector>
  </TitlesOfParts>
  <Company>QIAGEN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 Samara</dc:creator>
  <cp:lastModifiedBy>Raed Samara</cp:lastModifiedBy>
  <cp:lastPrinted>2015-03-10T13:58:25Z</cp:lastPrinted>
  <dcterms:created xsi:type="dcterms:W3CDTF">2014-12-16T04:25:36Z</dcterms:created>
  <dcterms:modified xsi:type="dcterms:W3CDTF">2015-08-06T16:13:49Z</dcterms:modified>
</cp:coreProperties>
</file>